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iltshirecouncil.sharepoint.com/sites/AB/FGJ/High Needs Provision Mapping/Final Costed Provision Map/2024-25/"/>
    </mc:Choice>
  </mc:AlternateContent>
  <xr:revisionPtr revIDLastSave="92" documentId="8_{486A0303-D316-4D05-8EA6-34705F8B6D0B}" xr6:coauthVersionLast="47" xr6:coauthVersionMax="47" xr10:uidLastSave="{1A8E9625-5609-4AD0-930D-5C1C0E0E7341}"/>
  <bookViews>
    <workbookView xWindow="-110" yWindow="-110" windowWidth="19420" windowHeight="10300" activeTab="1" xr2:uid="{00000000-000D-0000-FFFF-FFFF00000000}"/>
  </bookViews>
  <sheets>
    <sheet name="NPA" sheetId="5" r:id="rId1"/>
    <sheet name="Resource Base &amp; ELP " sheetId="7" r:id="rId2"/>
    <sheet name="Data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5" l="1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21" i="7"/>
  <c r="F22" i="7"/>
  <c r="F23" i="7"/>
  <c r="F24" i="7"/>
  <c r="F25" i="7"/>
  <c r="F26" i="7"/>
  <c r="Q9" i="7"/>
  <c r="Q9" i="5"/>
  <c r="N48" i="7"/>
  <c r="N49" i="7"/>
  <c r="N50" i="7"/>
  <c r="N51" i="7"/>
  <c r="N52" i="7"/>
  <c r="H78" i="7"/>
  <c r="H77" i="7"/>
  <c r="H76" i="7"/>
  <c r="H75" i="7"/>
  <c r="H74" i="7"/>
  <c r="H73" i="7"/>
  <c r="H72" i="7"/>
  <c r="H67" i="7"/>
  <c r="F20" i="7"/>
  <c r="F20" i="5"/>
  <c r="J25" i="7"/>
  <c r="K25" i="7" s="1"/>
  <c r="L25" i="7" s="1"/>
  <c r="J26" i="7"/>
  <c r="K26" i="7" s="1"/>
  <c r="L26" i="7" s="1"/>
  <c r="F27" i="7"/>
  <c r="J27" i="7"/>
  <c r="K27" i="7"/>
  <c r="L27" i="7" s="1"/>
  <c r="M27" i="7" s="1"/>
  <c r="N27" i="7" s="1"/>
  <c r="F28" i="7"/>
  <c r="J28" i="7"/>
  <c r="K28" i="7"/>
  <c r="L28" i="7" s="1"/>
  <c r="F29" i="7"/>
  <c r="J29" i="7"/>
  <c r="K29" i="7"/>
  <c r="L29" i="7" s="1"/>
  <c r="H74" i="5"/>
  <c r="M28" i="7" l="1"/>
  <c r="N28" i="7" s="1"/>
  <c r="M26" i="7"/>
  <c r="N26" i="7" s="1"/>
  <c r="M29" i="7"/>
  <c r="N29" i="7" s="1"/>
  <c r="M25" i="7"/>
  <c r="N25" i="7" s="1"/>
  <c r="N55" i="5" l="1"/>
  <c r="N56" i="5"/>
  <c r="N57" i="5"/>
  <c r="N58" i="5"/>
  <c r="N59" i="5"/>
  <c r="J38" i="5"/>
  <c r="K38" i="5"/>
  <c r="L38" i="5" s="1"/>
  <c r="J39" i="5"/>
  <c r="K39" i="5"/>
  <c r="L39" i="5" s="1"/>
  <c r="M39" i="5" s="1"/>
  <c r="N39" i="5" s="1"/>
  <c r="J40" i="5"/>
  <c r="K40" i="5"/>
  <c r="L40" i="5" s="1"/>
  <c r="J41" i="5"/>
  <c r="K41" i="5"/>
  <c r="L41" i="5" s="1"/>
  <c r="M41" i="5" s="1"/>
  <c r="N41" i="5" s="1"/>
  <c r="J42" i="5"/>
  <c r="K42" i="5"/>
  <c r="L42" i="5" s="1"/>
  <c r="M42" i="5" s="1"/>
  <c r="N42" i="5" s="1"/>
  <c r="M38" i="5" l="1"/>
  <c r="N38" i="5" s="1"/>
  <c r="M40" i="5"/>
  <c r="N40" i="5" s="1"/>
  <c r="N61" i="5"/>
  <c r="N60" i="5"/>
  <c r="N54" i="5"/>
  <c r="N53" i="5"/>
  <c r="J30" i="5"/>
  <c r="K30" i="5"/>
  <c r="L30" i="5"/>
  <c r="J31" i="5"/>
  <c r="K31" i="5"/>
  <c r="L31" i="5" s="1"/>
  <c r="J32" i="5"/>
  <c r="K32" i="5"/>
  <c r="L32" i="5"/>
  <c r="J33" i="5"/>
  <c r="K33" i="5"/>
  <c r="L33" i="5"/>
  <c r="J34" i="5"/>
  <c r="K34" i="5"/>
  <c r="L34" i="5" s="1"/>
  <c r="J35" i="5"/>
  <c r="K35" i="5"/>
  <c r="L35" i="5" s="1"/>
  <c r="J36" i="5"/>
  <c r="K36" i="5"/>
  <c r="L36" i="5"/>
  <c r="J37" i="5"/>
  <c r="K37" i="5"/>
  <c r="L37" i="5" s="1"/>
  <c r="M37" i="5" s="1"/>
  <c r="N37" i="5" s="1"/>
  <c r="J43" i="5"/>
  <c r="K43" i="5"/>
  <c r="L43" i="5" s="1"/>
  <c r="J44" i="5"/>
  <c r="K44" i="5"/>
  <c r="L44" i="5" s="1"/>
  <c r="J45" i="5"/>
  <c r="K45" i="5"/>
  <c r="L45" i="5" s="1"/>
  <c r="J46" i="5"/>
  <c r="K46" i="5"/>
  <c r="L46" i="5" s="1"/>
  <c r="M46" i="5" s="1"/>
  <c r="N46" i="5" s="1"/>
  <c r="J47" i="5"/>
  <c r="K47" i="5"/>
  <c r="L47" i="5" s="1"/>
  <c r="J48" i="5"/>
  <c r="K48" i="5"/>
  <c r="L48" i="5" s="1"/>
  <c r="J49" i="5"/>
  <c r="K49" i="5"/>
  <c r="L49" i="5" s="1"/>
  <c r="N47" i="7"/>
  <c r="N53" i="7"/>
  <c r="N54" i="7"/>
  <c r="N55" i="7"/>
  <c r="F34" i="7"/>
  <c r="J34" i="7"/>
  <c r="K34" i="7"/>
  <c r="L34" i="7" s="1"/>
  <c r="J24" i="7"/>
  <c r="K24" i="7" s="1"/>
  <c r="L24" i="7" s="1"/>
  <c r="F30" i="7"/>
  <c r="J30" i="7"/>
  <c r="K30" i="7"/>
  <c r="L30" i="7" s="1"/>
  <c r="F31" i="7"/>
  <c r="J31" i="7"/>
  <c r="K31" i="7"/>
  <c r="L31" i="7" s="1"/>
  <c r="F32" i="7"/>
  <c r="J32" i="7"/>
  <c r="K32" i="7"/>
  <c r="L32" i="7" s="1"/>
  <c r="F33" i="7"/>
  <c r="J33" i="7"/>
  <c r="K33" i="7"/>
  <c r="L33" i="7" s="1"/>
  <c r="J23" i="7"/>
  <c r="K23" i="7" s="1"/>
  <c r="L23" i="7" s="1"/>
  <c r="J22" i="7"/>
  <c r="K22" i="7" s="1"/>
  <c r="L22" i="7" s="1"/>
  <c r="J25" i="5"/>
  <c r="K25" i="5"/>
  <c r="L25" i="5" s="1"/>
  <c r="J26" i="5"/>
  <c r="K26" i="5"/>
  <c r="L26" i="5" s="1"/>
  <c r="J27" i="5"/>
  <c r="K27" i="5"/>
  <c r="L27" i="5" s="1"/>
  <c r="J28" i="5"/>
  <c r="K28" i="5"/>
  <c r="L28" i="5" s="1"/>
  <c r="J29" i="5"/>
  <c r="K29" i="5"/>
  <c r="L29" i="5" s="1"/>
  <c r="F35" i="7"/>
  <c r="F36" i="7"/>
  <c r="F37" i="7"/>
  <c r="F38" i="7"/>
  <c r="F39" i="7"/>
  <c r="F40" i="7"/>
  <c r="F41" i="7"/>
  <c r="F42" i="7"/>
  <c r="J20" i="7"/>
  <c r="J21" i="7"/>
  <c r="J35" i="7"/>
  <c r="J36" i="7"/>
  <c r="J37" i="7"/>
  <c r="J38" i="7"/>
  <c r="J39" i="7"/>
  <c r="J40" i="7"/>
  <c r="J41" i="7"/>
  <c r="J42" i="7"/>
  <c r="K40" i="7"/>
  <c r="L40" i="7" s="1"/>
  <c r="K41" i="7"/>
  <c r="L41" i="7" s="1"/>
  <c r="K42" i="7"/>
  <c r="L42" i="7" s="1"/>
  <c r="J21" i="5"/>
  <c r="J22" i="5"/>
  <c r="J23" i="5"/>
  <c r="J24" i="5"/>
  <c r="J20" i="5"/>
  <c r="M43" i="5" l="1"/>
  <c r="N43" i="5" s="1"/>
  <c r="M33" i="5"/>
  <c r="N33" i="5" s="1"/>
  <c r="M30" i="5"/>
  <c r="N30" i="5" s="1"/>
  <c r="M34" i="5"/>
  <c r="N34" i="5" s="1"/>
  <c r="M31" i="5"/>
  <c r="N31" i="5" s="1"/>
  <c r="M44" i="5"/>
  <c r="N44" i="5" s="1"/>
  <c r="M48" i="5"/>
  <c r="N48" i="5" s="1"/>
  <c r="M35" i="5"/>
  <c r="N35" i="5" s="1"/>
  <c r="M47" i="5"/>
  <c r="N47" i="5" s="1"/>
  <c r="M49" i="5"/>
  <c r="N49" i="5" s="1"/>
  <c r="M45" i="5"/>
  <c r="N45" i="5" s="1"/>
  <c r="M36" i="5"/>
  <c r="N36" i="5" s="1"/>
  <c r="M32" i="5"/>
  <c r="N32" i="5" s="1"/>
  <c r="M41" i="7"/>
  <c r="N41" i="7" s="1"/>
  <c r="M30" i="7"/>
  <c r="N30" i="7" s="1"/>
  <c r="M24" i="7"/>
  <c r="N24" i="7" s="1"/>
  <c r="M34" i="7"/>
  <c r="N34" i="7" s="1"/>
  <c r="M31" i="7"/>
  <c r="N31" i="7" s="1"/>
  <c r="M22" i="7"/>
  <c r="N22" i="7" s="1"/>
  <c r="M32" i="7"/>
  <c r="N32" i="7" s="1"/>
  <c r="M33" i="7"/>
  <c r="N33" i="7" s="1"/>
  <c r="M23" i="7"/>
  <c r="N23" i="7" s="1"/>
  <c r="M42" i="7"/>
  <c r="N42" i="7" s="1"/>
  <c r="M40" i="7"/>
  <c r="N40" i="7" s="1"/>
  <c r="M11" i="7" l="1"/>
  <c r="H69" i="7" l="1"/>
  <c r="N58" i="7"/>
  <c r="N57" i="7"/>
  <c r="N56" i="7"/>
  <c r="N46" i="7"/>
  <c r="J43" i="7"/>
  <c r="K39" i="7"/>
  <c r="L39" i="7" s="1"/>
  <c r="K38" i="7"/>
  <c r="L38" i="7" s="1"/>
  <c r="K37" i="7"/>
  <c r="L37" i="7" s="1"/>
  <c r="K36" i="7"/>
  <c r="L36" i="7" s="1"/>
  <c r="K35" i="7"/>
  <c r="L35" i="7" s="1"/>
  <c r="K21" i="7"/>
  <c r="L21" i="7" s="1"/>
  <c r="K20" i="7"/>
  <c r="M11" i="5"/>
  <c r="H84" i="5"/>
  <c r="H85" i="5"/>
  <c r="H76" i="5"/>
  <c r="M13" i="5" s="1"/>
  <c r="M39" i="7" l="1"/>
  <c r="N39" i="7" s="1"/>
  <c r="M38" i="7"/>
  <c r="N38" i="7" s="1"/>
  <c r="M37" i="7"/>
  <c r="N37" i="7" s="1"/>
  <c r="M36" i="7"/>
  <c r="N36" i="7" s="1"/>
  <c r="M35" i="7"/>
  <c r="N35" i="7" s="1"/>
  <c r="N60" i="7"/>
  <c r="C11" i="7" s="1"/>
  <c r="M21" i="7"/>
  <c r="N21" i="7" s="1"/>
  <c r="K43" i="7"/>
  <c r="M10" i="7"/>
  <c r="H80" i="7"/>
  <c r="L20" i="7"/>
  <c r="H83" i="5"/>
  <c r="H82" i="5"/>
  <c r="H81" i="5"/>
  <c r="H80" i="5"/>
  <c r="H79" i="5"/>
  <c r="N65" i="5"/>
  <c r="N64" i="5"/>
  <c r="N63" i="5"/>
  <c r="N62" i="5"/>
  <c r="N67" i="5" s="1"/>
  <c r="J50" i="5"/>
  <c r="M29" i="5"/>
  <c r="N29" i="5" s="1"/>
  <c r="M28" i="5"/>
  <c r="N28" i="5" s="1"/>
  <c r="M27" i="5"/>
  <c r="N27" i="5" s="1"/>
  <c r="M26" i="5"/>
  <c r="N26" i="5" s="1"/>
  <c r="M25" i="5"/>
  <c r="N25" i="5" s="1"/>
  <c r="K24" i="5"/>
  <c r="L24" i="5" s="1"/>
  <c r="K23" i="5"/>
  <c r="L23" i="5" s="1"/>
  <c r="K22" i="5"/>
  <c r="L22" i="5" s="1"/>
  <c r="K21" i="5"/>
  <c r="L21" i="5" s="1"/>
  <c r="K20" i="5"/>
  <c r="M10" i="5"/>
  <c r="H87" i="5" l="1"/>
  <c r="M12" i="7"/>
  <c r="M13" i="7" s="1"/>
  <c r="L43" i="7"/>
  <c r="M20" i="7"/>
  <c r="M21" i="5"/>
  <c r="N21" i="5" s="1"/>
  <c r="M23" i="5"/>
  <c r="N23" i="5" s="1"/>
  <c r="M22" i="5"/>
  <c r="N22" i="5" s="1"/>
  <c r="M24" i="5"/>
  <c r="N24" i="5" s="1"/>
  <c r="K50" i="5"/>
  <c r="C11" i="5"/>
  <c r="L20" i="5"/>
  <c r="M43" i="7" l="1"/>
  <c r="N20" i="7"/>
  <c r="N43" i="7" s="1"/>
  <c r="C10" i="7" s="1"/>
  <c r="C13" i="7" s="1"/>
  <c r="Q10" i="7" s="1"/>
  <c r="Q11" i="7" s="1"/>
  <c r="L50" i="5"/>
  <c r="M20" i="5"/>
  <c r="M50" i="5" l="1"/>
  <c r="N20" i="5"/>
  <c r="N50" i="5" s="1"/>
  <c r="C10" i="5" s="1"/>
  <c r="C13" i="5" s="1"/>
  <c r="Q10" i="5" s="1"/>
  <c r="Q11" i="5" s="1"/>
</calcChain>
</file>

<file path=xl/sharedStrings.xml><?xml version="1.0" encoding="utf-8"?>
<sst xmlns="http://schemas.openxmlformats.org/spreadsheetml/2006/main" count="251" uniqueCount="144">
  <si>
    <t>Pupil Name</t>
  </si>
  <si>
    <t>Academic Year</t>
  </si>
  <si>
    <t>School</t>
  </si>
  <si>
    <t>Area of Need</t>
  </si>
  <si>
    <t>Provision Expenditure Summary Per Annum</t>
  </si>
  <si>
    <t>Provision Income Summary Per Annum</t>
  </si>
  <si>
    <t xml:space="preserve">Staffing Cost </t>
  </si>
  <si>
    <t>Banding Income</t>
  </si>
  <si>
    <t xml:space="preserve">Additional (non staff) Costs </t>
  </si>
  <si>
    <t>Notional SEN</t>
  </si>
  <si>
    <t>Total Expenditure Per Annum</t>
  </si>
  <si>
    <t>Total Income</t>
  </si>
  <si>
    <t>EXPENDITURE</t>
  </si>
  <si>
    <t xml:space="preserve">Staffing Provision to meet needs
</t>
  </si>
  <si>
    <t>Number of Pupils</t>
  </si>
  <si>
    <t>Pupil Initials</t>
  </si>
  <si>
    <t>Staff Role</t>
  </si>
  <si>
    <t>Hourly Rate</t>
  </si>
  <si>
    <t>Duration (minutes)</t>
  </si>
  <si>
    <t>No. of sessions per week</t>
  </si>
  <si>
    <t>Number of weeks</t>
  </si>
  <si>
    <t>Total Minutes per group per week</t>
    <phoneticPr fontId="0" type="noConversion"/>
  </si>
  <si>
    <t>Total Individual Minutes per week</t>
    <phoneticPr fontId="0" type="noConversion"/>
  </si>
  <si>
    <t>No. of Hours</t>
  </si>
  <si>
    <t>Weekly Cost per Provision</t>
  </si>
  <si>
    <t>Annual Cost per Provision</t>
  </si>
  <si>
    <t>Notes</t>
  </si>
  <si>
    <t>TOTAL</t>
  </si>
  <si>
    <t xml:space="preserve">Additional (non staff) costs, including equipment
</t>
  </si>
  <si>
    <t>One off Costs</t>
  </si>
  <si>
    <t xml:space="preserve">Total Additional </t>
  </si>
  <si>
    <t>INCOME</t>
  </si>
  <si>
    <t>Income Element</t>
  </si>
  <si>
    <t>Please choose from each drop down menu below</t>
  </si>
  <si>
    <t>Amount</t>
  </si>
  <si>
    <t>Additional Notes</t>
  </si>
  <si>
    <t>Band</t>
  </si>
  <si>
    <t>Select pupils current band</t>
  </si>
  <si>
    <t>L1</t>
  </si>
  <si>
    <t>(automatically populated amount)</t>
  </si>
  <si>
    <t>Total Income (for provision mapping)</t>
  </si>
  <si>
    <t>Pupil Characteristics for Information Only</t>
  </si>
  <si>
    <t>AWPU</t>
  </si>
  <si>
    <t>Select KS1&amp;2, KS3 or KS4</t>
  </si>
  <si>
    <t>Deprivation</t>
  </si>
  <si>
    <t>Select FSM6 Primary or FSM6 Secondary</t>
  </si>
  <si>
    <t>Low Attainment</t>
  </si>
  <si>
    <t>Select Low Prior Attainment Primary or Secondary</t>
  </si>
  <si>
    <t>EAL</t>
  </si>
  <si>
    <t>Select EAL Primary or EAL Secondary</t>
  </si>
  <si>
    <t>Pupil Premium</t>
  </si>
  <si>
    <t>Select PPG Primary or PPG Secondary</t>
  </si>
  <si>
    <t>Service Premium</t>
  </si>
  <si>
    <t>Select 'Yes' or 'No'</t>
  </si>
  <si>
    <t>LAC/Post LAC</t>
  </si>
  <si>
    <t>Place Funding Income</t>
  </si>
  <si>
    <t>Pupil Led Funding</t>
  </si>
  <si>
    <t xml:space="preserve">Place Funding </t>
  </si>
  <si>
    <t xml:space="preserve">Total Place Funding &amp; Top Up Income </t>
  </si>
  <si>
    <t>Pupil Characteristics Income</t>
  </si>
  <si>
    <t>AWPU KS4</t>
  </si>
  <si>
    <t>Post LAC</t>
  </si>
  <si>
    <t>Total Pupil Led Funding</t>
  </si>
  <si>
    <t>Teacher</t>
  </si>
  <si>
    <t>Type of Provision</t>
  </si>
  <si>
    <t>Place Funding</t>
  </si>
  <si>
    <t>Resource Base</t>
  </si>
  <si>
    <t>AWPU KS1&amp;2</t>
  </si>
  <si>
    <t>Yes</t>
  </si>
  <si>
    <t>ELP</t>
  </si>
  <si>
    <t>AWPU KS3</t>
  </si>
  <si>
    <t>No</t>
  </si>
  <si>
    <t>Special</t>
  </si>
  <si>
    <t>NPA</t>
  </si>
  <si>
    <t>FSM6 Primary</t>
  </si>
  <si>
    <t>FSM6 Secondary</t>
  </si>
  <si>
    <t>N/A</t>
  </si>
  <si>
    <t>U1</t>
  </si>
  <si>
    <t>Low Prior Attainment Primary</t>
  </si>
  <si>
    <t>L2</t>
  </si>
  <si>
    <t>Low Prior Attainment Secondary</t>
  </si>
  <si>
    <t>U2</t>
  </si>
  <si>
    <t>Band 3</t>
  </si>
  <si>
    <t>EAL Primary</t>
  </si>
  <si>
    <t>Band 4</t>
  </si>
  <si>
    <t>EAL Secondary</t>
  </si>
  <si>
    <t>PPG Primary</t>
  </si>
  <si>
    <t>PPG Secondary</t>
  </si>
  <si>
    <t>Band E, point 8, 44.49 weeks a yr</t>
  </si>
  <si>
    <t>Band H, point 17, 44.49 weeks a yr</t>
  </si>
  <si>
    <t>MPS 6, 52 weeks a yr</t>
  </si>
  <si>
    <t>SEND Individual Provision Map - Named Pupil Allowance (NPA) 2024-25</t>
  </si>
  <si>
    <t>TA Avg</t>
  </si>
  <si>
    <t>TA Max</t>
  </si>
  <si>
    <t>HLTA Avg</t>
  </si>
  <si>
    <t>HLTA Max</t>
  </si>
  <si>
    <t>SEND Individual Provision Map - Resource Base &amp; ELP 2024-25</t>
  </si>
  <si>
    <t>Top Up NPA</t>
  </si>
  <si>
    <t>Top Up ELP&amp;RBNPA</t>
  </si>
  <si>
    <t>Service PPG</t>
  </si>
  <si>
    <t>Minnie the Minx</t>
  </si>
  <si>
    <t>2024-25</t>
  </si>
  <si>
    <t>Secondary School</t>
  </si>
  <si>
    <t>Cognition &amp; Learning</t>
  </si>
  <si>
    <t>Reward time for completion of structured tasks</t>
  </si>
  <si>
    <t>CA</t>
  </si>
  <si>
    <t>Precision teaching - Letter sounds</t>
  </si>
  <si>
    <t>Turn taking and sharing activity</t>
  </si>
  <si>
    <t>CA+2</t>
  </si>
  <si>
    <t xml:space="preserve">Cognition and learning directed support to develop language and access learning and develop memory retention </t>
  </si>
  <si>
    <t>Phonological awareness</t>
  </si>
  <si>
    <t>5 mins on iPad or choice of activity 4 times a day after each completed task.</t>
  </si>
  <si>
    <t>To find name in sand, etc. to develop words they know. Recommended by Educational Psychologist.</t>
  </si>
  <si>
    <t>Create different ways of taking turns - sand timer, turn taking dial, number cards etc. Recommended by Educational Psychologist.</t>
  </si>
  <si>
    <t>Targeted learning broken up into shorter tasks with repetition to reinforce learning and adaptation of tasks. Resources to support learning.</t>
  </si>
  <si>
    <t>Tailored phonics phase 3 listening skills and sensory phonics.</t>
  </si>
  <si>
    <t>Special Cutlery</t>
  </si>
  <si>
    <t>Enlarged keyboard</t>
  </si>
  <si>
    <t>Equine Therapy</t>
  </si>
  <si>
    <t>Taxi to and from Equine Therapy</t>
  </si>
  <si>
    <t>Dennis the Menace</t>
  </si>
  <si>
    <t>Primary School</t>
  </si>
  <si>
    <t>Moderate Learning Difficulties</t>
  </si>
  <si>
    <t>One to One Reading Session</t>
  </si>
  <si>
    <t>DM</t>
  </si>
  <si>
    <t>One to One Session with Play Therapist</t>
  </si>
  <si>
    <t>Lunchtime support</t>
  </si>
  <si>
    <t>Maths class support</t>
  </si>
  <si>
    <t>Literacy in class support</t>
  </si>
  <si>
    <t>Phonics Support</t>
  </si>
  <si>
    <t>Meet and greet each morning</t>
  </si>
  <si>
    <t>Targeted Support, first thing after registration</t>
  </si>
  <si>
    <t>Play therapy to help process previous trauma</t>
  </si>
  <si>
    <t>Structured support at playtime</t>
  </si>
  <si>
    <t xml:space="preserve">DA requires one to one support with maths </t>
  </si>
  <si>
    <t>Intense support required from HLTA</t>
  </si>
  <si>
    <t>One to one support required</t>
  </si>
  <si>
    <t>Needs support coming into school each day</t>
  </si>
  <si>
    <t>Outdoor Therapy Activity Centre</t>
  </si>
  <si>
    <t>Taxi to and from Outdoor Therapy</t>
  </si>
  <si>
    <t>Net Position</t>
  </si>
  <si>
    <t>Income</t>
  </si>
  <si>
    <t>Expenditure</t>
  </si>
  <si>
    <t>Net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</si>
</sst>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u/>
      <sz val="20"/>
      <color theme="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u/>
      <sz val="14"/>
      <color theme="1"/>
      <name val="Calibri"/>
      <family val="2"/>
      <scheme val="minor"/>
    </font>
    <font>
      <b/>
      <u val="singleAccounting"/>
      <sz val="14"/>
      <color theme="0"/>
      <name val="Arial"/>
      <family val="2"/>
    </font>
    <font>
      <u/>
      <sz val="14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5" xfId="0" applyFont="1" applyBorder="1" applyAlignment="1" applyProtection="1">
      <alignment horizontal="center" vertical="center" wrapText="1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0" fillId="0" borderId="0" xfId="0" applyNumberFormat="1"/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0" fillId="0" borderId="0" xfId="0" applyNumberFormat="1"/>
    <xf numFmtId="0" fontId="20" fillId="0" borderId="0" xfId="0" applyFont="1"/>
    <xf numFmtId="0" fontId="20" fillId="0" borderId="4" xfId="0" applyFont="1" applyBorder="1"/>
    <xf numFmtId="44" fontId="20" fillId="0" borderId="4" xfId="0" applyNumberFormat="1" applyFont="1" applyBorder="1"/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44" fontId="0" fillId="0" borderId="4" xfId="0" applyNumberFormat="1" applyBorder="1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44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44" fontId="20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20" fillId="0" borderId="3" xfId="0" applyFont="1" applyBorder="1" applyProtection="1">
      <protection locked="0"/>
    </xf>
    <xf numFmtId="44" fontId="3" fillId="0" borderId="4" xfId="0" applyNumberFormat="1" applyFont="1" applyBorder="1"/>
    <xf numFmtId="0" fontId="6" fillId="0" borderId="11" xfId="0" applyFont="1" applyBorder="1" applyAlignment="1">
      <alignment horizontal="center" vertical="center"/>
    </xf>
    <xf numFmtId="0" fontId="0" fillId="0" borderId="28" xfId="0" applyBorder="1"/>
    <xf numFmtId="0" fontId="21" fillId="0" borderId="0" xfId="0" applyFont="1"/>
    <xf numFmtId="0" fontId="8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0" fillId="5" borderId="0" xfId="0" applyFill="1"/>
    <xf numFmtId="0" fontId="12" fillId="5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10" fillId="5" borderId="0" xfId="0" applyFont="1" applyFill="1"/>
    <xf numFmtId="0" fontId="5" fillId="5" borderId="0" xfId="0" applyFont="1" applyFill="1"/>
    <xf numFmtId="0" fontId="9" fillId="5" borderId="0" xfId="0" applyFont="1" applyFill="1"/>
    <xf numFmtId="0" fontId="12" fillId="5" borderId="18" xfId="0" applyFont="1" applyFill="1" applyBorder="1"/>
    <xf numFmtId="0" fontId="11" fillId="5" borderId="0" xfId="0" applyFont="1" applyFill="1"/>
    <xf numFmtId="0" fontId="11" fillId="5" borderId="19" xfId="0" applyFont="1" applyFill="1" applyBorder="1"/>
    <xf numFmtId="0" fontId="11" fillId="5" borderId="18" xfId="0" applyFont="1" applyFill="1" applyBorder="1"/>
    <xf numFmtId="44" fontId="12" fillId="5" borderId="0" xfId="0" applyNumberFormat="1" applyFont="1" applyFill="1"/>
    <xf numFmtId="0" fontId="12" fillId="5" borderId="0" xfId="0" applyFont="1" applyFill="1"/>
    <xf numFmtId="44" fontId="17" fillId="5" borderId="0" xfId="0" applyNumberFormat="1" applyFont="1" applyFill="1"/>
    <xf numFmtId="0" fontId="11" fillId="5" borderId="20" xfId="0" applyFont="1" applyFill="1" applyBorder="1"/>
    <xf numFmtId="0" fontId="11" fillId="5" borderId="21" xfId="0" applyFont="1" applyFill="1" applyBorder="1"/>
    <xf numFmtId="0" fontId="11" fillId="5" borderId="22" xfId="0" applyFont="1" applyFill="1" applyBorder="1"/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49" fontId="1" fillId="5" borderId="0" xfId="0" applyNumberFormat="1" applyFont="1" applyFill="1" applyAlignment="1" applyProtection="1">
      <alignment horizontal="left" vertical="center"/>
      <protection locked="0"/>
    </xf>
    <xf numFmtId="0" fontId="12" fillId="5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 inden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9" fillId="5" borderId="0" xfId="0" applyFont="1" applyFill="1"/>
    <xf numFmtId="1" fontId="10" fillId="5" borderId="9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4" fontId="10" fillId="5" borderId="0" xfId="0" applyNumberFormat="1" applyFont="1" applyFill="1"/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2" fillId="5" borderId="27" xfId="0" applyFont="1" applyFill="1" applyBorder="1"/>
    <xf numFmtId="0" fontId="12" fillId="5" borderId="28" xfId="0" applyFont="1" applyFill="1" applyBorder="1"/>
    <xf numFmtId="44" fontId="6" fillId="0" borderId="4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 applyProtection="1">
      <alignment horizontal="center"/>
      <protection locked="0"/>
    </xf>
    <xf numFmtId="44" fontId="3" fillId="2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3" fillId="0" borderId="1" xfId="0" quotePrefix="1" applyNumberFormat="1" applyFont="1" applyBorder="1" applyAlignment="1" applyProtection="1">
      <alignment vertical="center" wrapText="1"/>
      <protection locked="0"/>
    </xf>
    <xf numFmtId="49" fontId="3" fillId="0" borderId="2" xfId="0" quotePrefix="1" applyNumberFormat="1" applyFont="1" applyBorder="1" applyAlignment="1" applyProtection="1">
      <alignment vertical="center" wrapText="1"/>
      <protection locked="0"/>
    </xf>
    <xf numFmtId="49" fontId="3" fillId="0" borderId="3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/>
    <xf numFmtId="0" fontId="0" fillId="0" borderId="2" xfId="0" applyBorder="1"/>
    <xf numFmtId="0" fontId="0" fillId="0" borderId="3" xfId="0" applyBorder="1"/>
    <xf numFmtId="0" fontId="20" fillId="0" borderId="2" xfId="0" applyFont="1" applyBorder="1"/>
    <xf numFmtId="0" fontId="20" fillId="0" borderId="3" xfId="0" applyFont="1" applyBorder="1"/>
    <xf numFmtId="0" fontId="0" fillId="0" borderId="0" xfId="0"/>
    <xf numFmtId="0" fontId="10" fillId="5" borderId="0" xfId="0" applyFont="1" applyFill="1"/>
    <xf numFmtId="0" fontId="7" fillId="5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5" fillId="5" borderId="1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3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/>
    <xf numFmtId="0" fontId="5" fillId="5" borderId="3" xfId="0" applyFont="1" applyFill="1" applyBorder="1"/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3" fillId="5" borderId="0" xfId="0" applyFont="1" applyFill="1" applyAlignment="1">
      <alignment horizontal="center"/>
    </xf>
    <xf numFmtId="0" fontId="10" fillId="5" borderId="23" xfId="0" applyFont="1" applyFill="1" applyBorder="1" applyProtection="1">
      <protection locked="0"/>
    </xf>
    <xf numFmtId="0" fontId="10" fillId="5" borderId="24" xfId="0" applyFon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12" fillId="5" borderId="18" xfId="0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0" fillId="5" borderId="25" xfId="0" applyFont="1" applyFill="1" applyBorder="1" applyProtection="1">
      <protection locked="0"/>
    </xf>
    <xf numFmtId="0" fontId="14" fillId="5" borderId="0" xfId="0" applyFont="1" applyFill="1" applyAlignment="1">
      <alignment horizontal="right"/>
    </xf>
    <xf numFmtId="0" fontId="8" fillId="5" borderId="25" xfId="0" applyFont="1" applyFill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/>
    </xf>
    <xf numFmtId="44" fontId="12" fillId="5" borderId="19" xfId="0" applyNumberFormat="1" applyFont="1" applyFill="1" applyBorder="1"/>
    <xf numFmtId="0" fontId="12" fillId="5" borderId="20" xfId="0" applyFont="1" applyFill="1" applyBorder="1"/>
    <xf numFmtId="44" fontId="12" fillId="5" borderId="2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F8B"/>
      <color rgb="FFAFC876"/>
      <color rgb="FF75EB9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479778</xdr:colOff>
      <xdr:row>0</xdr:row>
      <xdr:rowOff>169333</xdr:rowOff>
    </xdr:from>
    <xdr:to>
      <xdr:col>16</xdr:col>
      <xdr:colOff>620890</xdr:colOff>
      <xdr:row>3</xdr:row>
      <xdr:rowOff>112889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486AAB-18E3-4A82-85D3-8E1341C6D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0478" y="169333"/>
          <a:ext cx="3341512" cy="635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479778</xdr:colOff>
      <xdr:row>0</xdr:row>
      <xdr:rowOff>169333</xdr:rowOff>
    </xdr:from>
    <xdr:to>
      <xdr:col>16</xdr:col>
      <xdr:colOff>620890</xdr:colOff>
      <xdr:row>3</xdr:row>
      <xdr:rowOff>112889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F08188-3920-4136-8C4B-0DA035CE6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0478" y="169333"/>
          <a:ext cx="3341512" cy="63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A623-8A6E-4656-A721-F9F00C96F5E6}">
  <sheetPr codeName="Sheet1">
    <tabColor rgb="FF00B050"/>
  </sheetPr>
  <dimension ref="A1:Y87"/>
  <sheetViews>
    <sheetView zoomScale="60" zoomScaleNormal="60" workbookViewId="0">
      <selection activeCell="B20" sqref="B20"/>
    </sheetView>
  </sheetViews>
  <sheetFormatPr defaultRowHeight="14.5" x14ac:dyDescent="0.35"/>
  <cols>
    <col min="1" max="1" width="5.1796875" customWidth="1"/>
    <col min="2" max="2" width="37.26953125" customWidth="1"/>
    <col min="3" max="4" width="16.453125" customWidth="1"/>
    <col min="5" max="6" width="10.81640625" customWidth="1"/>
    <col min="7" max="7" width="12.7265625" customWidth="1"/>
    <col min="8" max="8" width="15.81640625" customWidth="1"/>
    <col min="9" max="11" width="10.81640625" customWidth="1"/>
    <col min="12" max="12" width="12" customWidth="1"/>
    <col min="13" max="13" width="19.26953125" customWidth="1"/>
    <col min="14" max="14" width="13.54296875" customWidth="1"/>
    <col min="15" max="15" width="10.453125" customWidth="1"/>
    <col min="16" max="17" width="21.81640625" customWidth="1"/>
    <col min="18" max="18" width="11.90625" customWidth="1"/>
    <col min="19" max="19" width="1.1796875" customWidth="1"/>
    <col min="20" max="20" width="8.26953125" customWidth="1"/>
    <col min="21" max="21" width="14.1796875" customWidth="1"/>
    <col min="22" max="22" width="15.54296875" customWidth="1"/>
    <col min="24" max="24" width="28.1796875" customWidth="1"/>
  </cols>
  <sheetData>
    <row r="1" spans="1:20" ht="25" x14ac:dyDescent="0.5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5"/>
      <c r="Q1" s="45"/>
      <c r="R1" s="46"/>
      <c r="S1" s="46"/>
    </row>
    <row r="2" spans="1:20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ht="15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19" thickTop="1" thickBot="1" x14ac:dyDescent="0.45">
      <c r="A4" s="46"/>
      <c r="B4" s="47" t="s">
        <v>0</v>
      </c>
      <c r="C4" s="128" t="s">
        <v>100</v>
      </c>
      <c r="D4" s="129"/>
      <c r="E4" s="129"/>
      <c r="F4" s="129"/>
      <c r="G4" s="130"/>
      <c r="H4" s="131" t="s">
        <v>1</v>
      </c>
      <c r="I4" s="132"/>
      <c r="J4" s="128" t="s">
        <v>101</v>
      </c>
      <c r="K4" s="129"/>
      <c r="L4" s="129"/>
      <c r="M4" s="133"/>
      <c r="N4" s="46"/>
      <c r="O4" s="46"/>
      <c r="P4" s="46"/>
      <c r="Q4" s="46"/>
      <c r="R4" s="46"/>
      <c r="S4" s="46"/>
    </row>
    <row r="5" spans="1:20" ht="16.5" thickTop="1" thickBot="1" x14ac:dyDescent="0.4">
      <c r="A5" s="46"/>
      <c r="B5" s="48"/>
      <c r="C5" s="49"/>
      <c r="D5" s="49"/>
      <c r="E5" s="49"/>
      <c r="F5" s="49"/>
      <c r="G5" s="46"/>
      <c r="H5" s="49"/>
      <c r="I5" s="49"/>
      <c r="J5" s="49"/>
      <c r="K5" s="49"/>
      <c r="L5" s="49"/>
      <c r="M5" s="49"/>
      <c r="N5" s="46"/>
      <c r="O5" s="46"/>
      <c r="P5" s="46"/>
      <c r="Q5" s="46"/>
      <c r="R5" s="46"/>
      <c r="S5" s="46"/>
    </row>
    <row r="6" spans="1:20" ht="19.5" thickTop="1" thickBot="1" x14ac:dyDescent="0.5">
      <c r="A6" s="46"/>
      <c r="B6" s="47" t="s">
        <v>2</v>
      </c>
      <c r="C6" s="128" t="s">
        <v>102</v>
      </c>
      <c r="D6" s="129"/>
      <c r="E6" s="129"/>
      <c r="F6" s="129"/>
      <c r="G6" s="130"/>
      <c r="H6" s="132" t="s">
        <v>3</v>
      </c>
      <c r="I6" s="134"/>
      <c r="J6" s="128" t="s">
        <v>103</v>
      </c>
      <c r="K6" s="129"/>
      <c r="L6" s="129"/>
      <c r="M6" s="129"/>
      <c r="N6" s="135"/>
      <c r="O6" s="46"/>
      <c r="P6" s="46"/>
      <c r="Q6" s="46"/>
      <c r="R6" s="46"/>
      <c r="S6" s="46"/>
    </row>
    <row r="7" spans="1:20" ht="15.5" thickTop="1" thickBot="1" x14ac:dyDescent="0.4">
      <c r="A7" s="4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1"/>
      <c r="Q7" s="51"/>
      <c r="R7" s="46"/>
      <c r="S7" s="46"/>
    </row>
    <row r="8" spans="1:20" ht="19" thickTop="1" x14ac:dyDescent="0.45">
      <c r="A8" s="46"/>
      <c r="B8" s="119" t="s">
        <v>4</v>
      </c>
      <c r="C8" s="120"/>
      <c r="D8" s="121"/>
      <c r="E8" s="50"/>
      <c r="F8" s="50"/>
      <c r="G8" s="50"/>
      <c r="H8" s="50"/>
      <c r="I8" s="50"/>
      <c r="J8" s="119" t="s">
        <v>5</v>
      </c>
      <c r="K8" s="122"/>
      <c r="L8" s="122"/>
      <c r="M8" s="122"/>
      <c r="N8" s="123"/>
      <c r="O8" s="46"/>
      <c r="P8" s="119" t="s">
        <v>140</v>
      </c>
      <c r="Q8" s="147"/>
      <c r="R8" s="46"/>
      <c r="S8" s="46"/>
    </row>
    <row r="9" spans="1:20" ht="18" x14ac:dyDescent="0.4">
      <c r="A9" s="46"/>
      <c r="B9" s="52"/>
      <c r="C9" s="53"/>
      <c r="D9" s="54"/>
      <c r="E9" s="51"/>
      <c r="F9" s="51"/>
      <c r="G9" s="51"/>
      <c r="H9" s="51"/>
      <c r="I9" s="51"/>
      <c r="J9" s="55"/>
      <c r="K9" s="53"/>
      <c r="L9" s="53"/>
      <c r="M9" s="53"/>
      <c r="N9" s="54"/>
      <c r="O9" s="51"/>
      <c r="P9" s="52" t="s">
        <v>141</v>
      </c>
      <c r="Q9" s="148">
        <f>+M13</f>
        <v>13833</v>
      </c>
      <c r="R9" s="51"/>
      <c r="S9" s="46"/>
    </row>
    <row r="10" spans="1:20" ht="18.5" thickBot="1" x14ac:dyDescent="0.45">
      <c r="A10" s="46"/>
      <c r="B10" s="52" t="s">
        <v>6</v>
      </c>
      <c r="C10" s="56">
        <f>N50</f>
        <v>16967.166666666668</v>
      </c>
      <c r="D10" s="54"/>
      <c r="E10" s="51"/>
      <c r="F10" s="51"/>
      <c r="G10" s="51"/>
      <c r="H10" s="51"/>
      <c r="I10" s="51"/>
      <c r="J10" s="52" t="s">
        <v>7</v>
      </c>
      <c r="K10" s="57"/>
      <c r="L10" s="53"/>
      <c r="M10" s="56">
        <f>H74</f>
        <v>7833</v>
      </c>
      <c r="N10" s="54"/>
      <c r="O10" s="51"/>
      <c r="P10" s="52" t="s">
        <v>142</v>
      </c>
      <c r="Q10" s="148">
        <f>+C13</f>
        <v>18157.166666666668</v>
      </c>
      <c r="R10" s="51"/>
      <c r="S10" s="46"/>
    </row>
    <row r="11" spans="1:20" ht="18.5" thickBot="1" x14ac:dyDescent="0.45">
      <c r="A11" s="46"/>
      <c r="B11" s="52" t="s">
        <v>8</v>
      </c>
      <c r="C11" s="56">
        <f>N67</f>
        <v>1190</v>
      </c>
      <c r="D11" s="54"/>
      <c r="E11" s="51"/>
      <c r="F11" s="51"/>
      <c r="G11" s="51"/>
      <c r="H11" s="51"/>
      <c r="I11" s="51"/>
      <c r="J11" s="52" t="s">
        <v>9</v>
      </c>
      <c r="K11" s="57"/>
      <c r="L11" s="57"/>
      <c r="M11" s="56">
        <f>H75</f>
        <v>6000</v>
      </c>
      <c r="N11" s="54"/>
      <c r="O11" s="51"/>
      <c r="P11" s="149" t="s">
        <v>143</v>
      </c>
      <c r="Q11" s="150">
        <f>+Q9-Q10</f>
        <v>-4324.1666666666679</v>
      </c>
      <c r="R11" s="51"/>
      <c r="S11" s="46"/>
    </row>
    <row r="12" spans="1:20" ht="18.5" thickTop="1" x14ac:dyDescent="0.4">
      <c r="A12" s="46"/>
      <c r="B12" s="52"/>
      <c r="C12" s="57"/>
      <c r="D12" s="54"/>
      <c r="E12" s="51"/>
      <c r="F12" s="51"/>
      <c r="G12" s="51"/>
      <c r="H12" s="51"/>
      <c r="I12" s="51"/>
      <c r="J12" s="55"/>
      <c r="K12" s="53"/>
      <c r="L12" s="53"/>
      <c r="M12" s="53"/>
      <c r="N12" s="54"/>
      <c r="O12" s="51"/>
      <c r="P12" s="51"/>
      <c r="Q12" s="51"/>
      <c r="R12" s="51"/>
      <c r="S12" s="46"/>
    </row>
    <row r="13" spans="1:20" ht="22.5" x14ac:dyDescent="0.85">
      <c r="A13" s="46"/>
      <c r="B13" s="52" t="s">
        <v>10</v>
      </c>
      <c r="C13" s="58">
        <f>SUM(C10+C11)</f>
        <v>18157.166666666668</v>
      </c>
      <c r="D13" s="54"/>
      <c r="E13" s="51"/>
      <c r="F13" s="51"/>
      <c r="G13" s="51"/>
      <c r="H13" s="51"/>
      <c r="I13" s="51"/>
      <c r="J13" s="52" t="s">
        <v>11</v>
      </c>
      <c r="K13" s="57"/>
      <c r="L13" s="57"/>
      <c r="M13" s="58">
        <f>H76</f>
        <v>13833</v>
      </c>
      <c r="N13" s="54"/>
      <c r="O13" s="51"/>
      <c r="P13" s="51"/>
      <c r="Q13" s="51"/>
      <c r="R13" s="51"/>
      <c r="S13" s="46"/>
    </row>
    <row r="14" spans="1:20" ht="13.5" customHeight="1" thickBot="1" x14ac:dyDescent="0.4">
      <c r="A14" s="46"/>
      <c r="B14" s="59"/>
      <c r="C14" s="60"/>
      <c r="D14" s="61"/>
      <c r="E14" s="51"/>
      <c r="F14" s="51"/>
      <c r="G14" s="51"/>
      <c r="H14" s="51"/>
      <c r="I14" s="51"/>
      <c r="J14" s="59"/>
      <c r="K14" s="60"/>
      <c r="L14" s="60"/>
      <c r="M14" s="60"/>
      <c r="N14" s="61"/>
      <c r="O14" s="51"/>
      <c r="P14" s="51"/>
      <c r="Q14" s="51"/>
      <c r="R14" s="51"/>
      <c r="S14" s="46"/>
    </row>
    <row r="15" spans="1:20" ht="15" thickTop="1" x14ac:dyDescent="0.35">
      <c r="A15" s="46"/>
      <c r="B15" s="62"/>
      <c r="C15" s="62"/>
      <c r="D15" s="62"/>
      <c r="E15" s="62"/>
      <c r="F15" s="62"/>
      <c r="G15" s="63"/>
      <c r="H15" s="64"/>
      <c r="I15" s="64"/>
      <c r="J15" s="64"/>
      <c r="K15" s="65"/>
      <c r="L15" s="65"/>
      <c r="M15" s="65"/>
      <c r="N15" s="65"/>
      <c r="O15" s="65"/>
      <c r="P15" s="65"/>
      <c r="Q15" s="65"/>
      <c r="R15" s="65"/>
      <c r="S15" s="46"/>
      <c r="T15" s="23"/>
    </row>
    <row r="16" spans="1:20" x14ac:dyDescent="0.35">
      <c r="B16" s="101"/>
      <c r="C16" s="101"/>
      <c r="D16" s="101"/>
      <c r="E16" s="101"/>
      <c r="H16" s="124"/>
      <c r="I16" s="124"/>
      <c r="J16" s="125"/>
      <c r="K16" s="126"/>
      <c r="L16" s="126"/>
      <c r="M16" s="126"/>
      <c r="N16" s="126"/>
      <c r="O16" s="126"/>
      <c r="P16" s="126"/>
      <c r="Q16" s="126"/>
      <c r="R16" s="126"/>
      <c r="S16" s="33"/>
      <c r="T16" s="11"/>
    </row>
    <row r="17" spans="2:25" ht="23.5" customHeight="1" x14ac:dyDescent="0.35">
      <c r="B17" s="66" t="s">
        <v>12</v>
      </c>
      <c r="C17" s="138"/>
      <c r="D17" s="138"/>
      <c r="E17" s="138"/>
      <c r="F17" s="13"/>
      <c r="H17" s="124"/>
      <c r="I17" s="124"/>
      <c r="J17" s="125"/>
      <c r="K17" s="126"/>
      <c r="L17" s="126"/>
      <c r="M17" s="126"/>
      <c r="N17" s="126"/>
      <c r="O17" s="126"/>
      <c r="P17" s="126"/>
      <c r="Q17" s="126"/>
      <c r="R17" s="126"/>
      <c r="S17" s="33"/>
      <c r="T17" s="12"/>
    </row>
    <row r="19" spans="2:25" ht="52" x14ac:dyDescent="0.35">
      <c r="B19" s="67" t="s">
        <v>13</v>
      </c>
      <c r="C19" s="68" t="s">
        <v>14</v>
      </c>
      <c r="D19" s="68" t="s">
        <v>15</v>
      </c>
      <c r="E19" s="68" t="s">
        <v>16</v>
      </c>
      <c r="F19" s="68" t="s">
        <v>17</v>
      </c>
      <c r="G19" s="68" t="s">
        <v>18</v>
      </c>
      <c r="H19" s="68" t="s">
        <v>19</v>
      </c>
      <c r="I19" s="68" t="s">
        <v>20</v>
      </c>
      <c r="J19" s="68" t="s">
        <v>21</v>
      </c>
      <c r="K19" s="68" t="s">
        <v>22</v>
      </c>
      <c r="L19" s="69" t="s">
        <v>23</v>
      </c>
      <c r="M19" s="69" t="s">
        <v>24</v>
      </c>
      <c r="N19" s="69" t="s">
        <v>25</v>
      </c>
      <c r="O19" s="111" t="s">
        <v>26</v>
      </c>
      <c r="P19" s="146"/>
      <c r="Q19" s="146"/>
      <c r="R19" s="112"/>
      <c r="S19" s="113"/>
    </row>
    <row r="20" spans="2:25" ht="38.15" customHeight="1" x14ac:dyDescent="0.35">
      <c r="B20" s="32" t="s">
        <v>104</v>
      </c>
      <c r="C20" s="24">
        <v>1</v>
      </c>
      <c r="D20" s="1" t="s">
        <v>105</v>
      </c>
      <c r="E20" s="1" t="s">
        <v>92</v>
      </c>
      <c r="F20" s="85">
        <f>IF(E20="TA Avg",Data!$B$4,IF(E20="TA Max",Data!$B$5,IF(E20="HLTA Avg",Data!$B$6,IF(E20="HLTA Max",Data!$B$7,IF(E20="Teacher",Data!$B$3,0)))))</f>
        <v>17.5</v>
      </c>
      <c r="G20" s="24">
        <v>40</v>
      </c>
      <c r="H20" s="24">
        <v>5</v>
      </c>
      <c r="I20" s="2">
        <v>38</v>
      </c>
      <c r="J20" s="25">
        <f>+H20*G20</f>
        <v>200</v>
      </c>
      <c r="K20" s="25">
        <f>IF(C20=0,"",J20/C20)</f>
        <v>200</v>
      </c>
      <c r="L20" s="26">
        <f>IFERROR(K20/60, "")</f>
        <v>3.3333333333333335</v>
      </c>
      <c r="M20" s="85">
        <f>IFERROR(L20*F20,"")</f>
        <v>58.333333333333336</v>
      </c>
      <c r="N20" s="85">
        <f>IFERROR(M20*I20,"")</f>
        <v>2216.666666666667</v>
      </c>
      <c r="O20" s="105" t="s">
        <v>111</v>
      </c>
      <c r="P20" s="141"/>
      <c r="Q20" s="141"/>
      <c r="R20" s="139"/>
      <c r="S20" s="140"/>
    </row>
    <row r="21" spans="2:25" ht="38.15" customHeight="1" x14ac:dyDescent="0.35">
      <c r="B21" s="32" t="s">
        <v>106</v>
      </c>
      <c r="C21" s="24">
        <v>1</v>
      </c>
      <c r="D21" s="1" t="s">
        <v>105</v>
      </c>
      <c r="E21" s="1" t="s">
        <v>63</v>
      </c>
      <c r="F21" s="85">
        <f>IF(E21="TA Avg",Data!$B$4,IF(E21="TA Max",Data!$B$5,IF(E21="HLTA Avg",Data!$B$6,IF(E21="HLTA Max",Data!$B$7,IF(E21="Teacher",Data!$B$3,0)))))</f>
        <v>34</v>
      </c>
      <c r="G21" s="24">
        <v>60</v>
      </c>
      <c r="H21" s="24">
        <v>5</v>
      </c>
      <c r="I21" s="2">
        <v>38</v>
      </c>
      <c r="J21" s="25">
        <f t="shared" ref="J21:J24" si="0">+H21*G21</f>
        <v>300</v>
      </c>
      <c r="K21" s="25">
        <f t="shared" ref="K21:K24" si="1">IF(C21=0,"",J21/C21)</f>
        <v>300</v>
      </c>
      <c r="L21" s="26">
        <f t="shared" ref="L21:L24" si="2">IFERROR(K21/60, "")</f>
        <v>5</v>
      </c>
      <c r="M21" s="85">
        <f t="shared" ref="M21:M24" si="3">IFERROR(L21*F21,"")</f>
        <v>170</v>
      </c>
      <c r="N21" s="85">
        <f t="shared" ref="N21:N24" si="4">IFERROR(M21*I21,"")</f>
        <v>6460</v>
      </c>
      <c r="O21" s="105" t="s">
        <v>112</v>
      </c>
      <c r="P21" s="141"/>
      <c r="Q21" s="141"/>
      <c r="R21" s="106"/>
      <c r="S21" s="107"/>
    </row>
    <row r="22" spans="2:25" ht="38.15" customHeight="1" x14ac:dyDescent="0.35">
      <c r="B22" s="32" t="s">
        <v>107</v>
      </c>
      <c r="C22" s="24">
        <v>3</v>
      </c>
      <c r="D22" s="1" t="s">
        <v>108</v>
      </c>
      <c r="E22" s="1" t="s">
        <v>94</v>
      </c>
      <c r="F22" s="85">
        <f>IF(E22="TA Avg",Data!$B$4,IF(E22="TA Max",Data!$B$5,IF(E22="HLTA Avg",Data!$B$6,IF(E22="HLTA Max",Data!$B$7,IF(E22="Teacher",Data!$B$3,0)))))</f>
        <v>22.5</v>
      </c>
      <c r="G22" s="24">
        <v>60</v>
      </c>
      <c r="H22" s="24">
        <v>5</v>
      </c>
      <c r="I22" s="2">
        <v>25</v>
      </c>
      <c r="J22" s="25">
        <f t="shared" si="0"/>
        <v>300</v>
      </c>
      <c r="K22" s="25">
        <f t="shared" si="1"/>
        <v>100</v>
      </c>
      <c r="L22" s="26">
        <f t="shared" si="2"/>
        <v>1.6666666666666667</v>
      </c>
      <c r="M22" s="85">
        <f t="shared" si="3"/>
        <v>37.5</v>
      </c>
      <c r="N22" s="85">
        <f t="shared" si="4"/>
        <v>937.5</v>
      </c>
      <c r="O22" s="105" t="s">
        <v>113</v>
      </c>
      <c r="P22" s="141"/>
      <c r="Q22" s="141"/>
      <c r="R22" s="106"/>
      <c r="S22" s="107"/>
    </row>
    <row r="23" spans="2:25" ht="38.15" customHeight="1" x14ac:dyDescent="0.35">
      <c r="B23" s="32" t="s">
        <v>109</v>
      </c>
      <c r="C23" s="24">
        <v>1</v>
      </c>
      <c r="D23" s="1" t="s">
        <v>105</v>
      </c>
      <c r="E23" s="1" t="s">
        <v>95</v>
      </c>
      <c r="F23" s="85">
        <f>IF(E23="TA Avg",Data!$B$4,IF(E23="TA Max",Data!$B$5,IF(E23="HLTA Avg",Data!$B$6,IF(E23="HLTA Max",Data!$B$7,IF(E23="Teacher",Data!$B$3,0)))))</f>
        <v>24</v>
      </c>
      <c r="G23" s="24">
        <v>90</v>
      </c>
      <c r="H23" s="24">
        <v>3</v>
      </c>
      <c r="I23" s="2">
        <v>38</v>
      </c>
      <c r="J23" s="25">
        <f t="shared" si="0"/>
        <v>270</v>
      </c>
      <c r="K23" s="25">
        <f t="shared" si="1"/>
        <v>270</v>
      </c>
      <c r="L23" s="26">
        <f t="shared" si="2"/>
        <v>4.5</v>
      </c>
      <c r="M23" s="85">
        <f t="shared" si="3"/>
        <v>108</v>
      </c>
      <c r="N23" s="85">
        <f t="shared" si="4"/>
        <v>4104</v>
      </c>
      <c r="O23" s="105" t="s">
        <v>114</v>
      </c>
      <c r="P23" s="141"/>
      <c r="Q23" s="141"/>
      <c r="R23" s="106"/>
      <c r="S23" s="107"/>
    </row>
    <row r="24" spans="2:25" ht="38.15" customHeight="1" x14ac:dyDescent="0.35">
      <c r="B24" s="32" t="s">
        <v>110</v>
      </c>
      <c r="C24" s="24">
        <v>1</v>
      </c>
      <c r="D24" s="1" t="s">
        <v>105</v>
      </c>
      <c r="E24" s="1" t="s">
        <v>93</v>
      </c>
      <c r="F24" s="85">
        <f>IF(E24="TA Avg",Data!$B$4,IF(E24="TA Max",Data!$B$5,IF(E24="HLTA Avg",Data!$B$6,IF(E24="HLTA Max",Data!$B$7,IF(E24="Teacher",Data!$B$3,0)))))</f>
        <v>19</v>
      </c>
      <c r="G24" s="24">
        <v>90</v>
      </c>
      <c r="H24" s="24">
        <v>3</v>
      </c>
      <c r="I24" s="2">
        <v>38</v>
      </c>
      <c r="J24" s="25">
        <f t="shared" si="0"/>
        <v>270</v>
      </c>
      <c r="K24" s="25">
        <f t="shared" si="1"/>
        <v>270</v>
      </c>
      <c r="L24" s="26">
        <f t="shared" si="2"/>
        <v>4.5</v>
      </c>
      <c r="M24" s="85">
        <f t="shared" si="3"/>
        <v>85.5</v>
      </c>
      <c r="N24" s="85">
        <f t="shared" si="4"/>
        <v>3249</v>
      </c>
      <c r="O24" s="105" t="s">
        <v>115</v>
      </c>
      <c r="P24" s="141"/>
      <c r="Q24" s="141"/>
      <c r="R24" s="106"/>
      <c r="S24" s="107"/>
    </row>
    <row r="25" spans="2:25" ht="38.15" customHeight="1" x14ac:dyDescent="0.35">
      <c r="B25" s="32"/>
      <c r="C25" s="24"/>
      <c r="D25" s="1"/>
      <c r="E25" s="1"/>
      <c r="F25" s="85">
        <f>IF(E25="TA Avg",Data!$B$4,IF(E25="TA Max",Data!$B$5,IF(E25="HLTA Avg",Data!$B$6,IF(E25="HLTA Max",Data!$B$7,IF(E25="Teacher",Data!$B$3,0)))))</f>
        <v>0</v>
      </c>
      <c r="G25" s="24"/>
      <c r="H25" s="24"/>
      <c r="I25" s="2"/>
      <c r="J25" s="25">
        <f t="shared" ref="J25:J29" si="5">+H25*G25</f>
        <v>0</v>
      </c>
      <c r="K25" s="25" t="str">
        <f t="shared" ref="K25:K29" si="6">IF(C25=0,"",J25/C25)</f>
        <v/>
      </c>
      <c r="L25" s="26" t="str">
        <f t="shared" ref="L25:L29" si="7">IFERROR(K25/60, "")</f>
        <v/>
      </c>
      <c r="M25" s="85" t="str">
        <f t="shared" ref="M25:M29" si="8">IFERROR(L25*F25,"")</f>
        <v/>
      </c>
      <c r="N25" s="85" t="str">
        <f t="shared" ref="N25:N29" si="9">IFERROR(M25*I25,"")</f>
        <v/>
      </c>
      <c r="O25" s="105"/>
      <c r="P25" s="141"/>
      <c r="Q25" s="141"/>
      <c r="R25" s="106"/>
      <c r="S25" s="107"/>
    </row>
    <row r="26" spans="2:25" ht="38.15" customHeight="1" x14ac:dyDescent="0.35">
      <c r="B26" s="32"/>
      <c r="C26" s="24"/>
      <c r="D26" s="1"/>
      <c r="E26" s="1"/>
      <c r="F26" s="85">
        <f>IF(E26="TA Avg",Data!$B$4,IF(E26="TA Max",Data!$B$5,IF(E26="HLTA Avg",Data!$B$6,IF(E26="HLTA Max",Data!$B$7,IF(E26="Teacher",Data!$B$3,0)))))</f>
        <v>0</v>
      </c>
      <c r="G26" s="27"/>
      <c r="H26" s="27"/>
      <c r="I26" s="2"/>
      <c r="J26" s="25">
        <f t="shared" si="5"/>
        <v>0</v>
      </c>
      <c r="K26" s="25" t="str">
        <f t="shared" si="6"/>
        <v/>
      </c>
      <c r="L26" s="26" t="str">
        <f t="shared" si="7"/>
        <v/>
      </c>
      <c r="M26" s="85" t="str">
        <f t="shared" si="8"/>
        <v/>
      </c>
      <c r="N26" s="85" t="str">
        <f t="shared" si="9"/>
        <v/>
      </c>
      <c r="O26" s="105"/>
      <c r="P26" s="141"/>
      <c r="Q26" s="141"/>
      <c r="R26" s="141"/>
      <c r="S26" s="142"/>
    </row>
    <row r="27" spans="2:25" ht="38.15" customHeight="1" x14ac:dyDescent="0.35">
      <c r="B27" s="32"/>
      <c r="C27" s="24"/>
      <c r="D27" s="1"/>
      <c r="E27" s="1"/>
      <c r="F27" s="85">
        <f>IF(E27="TA Avg",Data!$B$4,IF(E27="TA Max",Data!$B$5,IF(E27="HLTA Avg",Data!$B$6,IF(E27="HLTA Max",Data!$B$7,IF(E27="Teacher",Data!$B$3,0)))))</f>
        <v>0</v>
      </c>
      <c r="G27" s="27"/>
      <c r="H27" s="27"/>
      <c r="I27" s="2"/>
      <c r="J27" s="25">
        <f t="shared" si="5"/>
        <v>0</v>
      </c>
      <c r="K27" s="25" t="str">
        <f t="shared" si="6"/>
        <v/>
      </c>
      <c r="L27" s="26" t="str">
        <f t="shared" si="7"/>
        <v/>
      </c>
      <c r="M27" s="85" t="str">
        <f t="shared" si="8"/>
        <v/>
      </c>
      <c r="N27" s="85" t="str">
        <f t="shared" si="9"/>
        <v/>
      </c>
      <c r="O27" s="93"/>
      <c r="P27" s="94"/>
      <c r="Q27" s="94"/>
      <c r="R27" s="141"/>
      <c r="S27" s="142"/>
    </row>
    <row r="28" spans="2:25" ht="46" customHeight="1" x14ac:dyDescent="0.35">
      <c r="B28" s="32"/>
      <c r="C28" s="24"/>
      <c r="D28" s="1"/>
      <c r="E28" s="1"/>
      <c r="F28" s="85">
        <f>IF(E28="TA Avg",Data!$B$4,IF(E28="TA Max",Data!$B$5,IF(E28="HLTA Avg",Data!$B$6,IF(E28="HLTA Max",Data!$B$7,IF(E28="Teacher",Data!$B$3,0)))))</f>
        <v>0</v>
      </c>
      <c r="G28" s="28"/>
      <c r="H28" s="28"/>
      <c r="I28" s="2"/>
      <c r="J28" s="25">
        <f t="shared" si="5"/>
        <v>0</v>
      </c>
      <c r="K28" s="25" t="str">
        <f t="shared" si="6"/>
        <v/>
      </c>
      <c r="L28" s="26" t="str">
        <f t="shared" si="7"/>
        <v/>
      </c>
      <c r="M28" s="85" t="str">
        <f t="shared" si="8"/>
        <v/>
      </c>
      <c r="N28" s="85" t="str">
        <f t="shared" si="9"/>
        <v/>
      </c>
      <c r="O28" s="93"/>
      <c r="P28" s="94"/>
      <c r="Q28" s="94"/>
      <c r="R28" s="94"/>
      <c r="S28" s="95"/>
    </row>
    <row r="29" spans="2:25" ht="38.15" customHeight="1" x14ac:dyDescent="0.35">
      <c r="B29" s="32"/>
      <c r="C29" s="27"/>
      <c r="D29" s="1"/>
      <c r="E29" s="1"/>
      <c r="F29" s="85">
        <f>IF(E29="TA Avg",Data!$B$4,IF(E29="TA Max",Data!$B$5,IF(E29="HLTA Avg",Data!$B$6,IF(E29="HLTA Max",Data!$B$7,IF(E29="Teacher",Data!$B$3,0)))))</f>
        <v>0</v>
      </c>
      <c r="G29" s="27"/>
      <c r="H29" s="27"/>
      <c r="I29" s="2"/>
      <c r="J29" s="25">
        <f t="shared" si="5"/>
        <v>0</v>
      </c>
      <c r="K29" s="25" t="str">
        <f t="shared" si="6"/>
        <v/>
      </c>
      <c r="L29" s="26" t="str">
        <f t="shared" si="7"/>
        <v/>
      </c>
      <c r="M29" s="85" t="str">
        <f t="shared" si="8"/>
        <v/>
      </c>
      <c r="N29" s="85" t="str">
        <f t="shared" si="9"/>
        <v/>
      </c>
      <c r="O29" s="93"/>
      <c r="P29" s="94"/>
      <c r="Q29" s="94"/>
      <c r="R29" s="94"/>
      <c r="S29" s="95"/>
    </row>
    <row r="30" spans="2:25" ht="38.15" customHeight="1" x14ac:dyDescent="0.35">
      <c r="B30" s="32"/>
      <c r="C30" s="27"/>
      <c r="D30" s="1"/>
      <c r="E30" s="1"/>
      <c r="F30" s="85">
        <f>IF(E30="TA Avg",Data!$B$4,IF(E30="TA Max",Data!$B$5,IF(E30="HLTA Avg",Data!$B$6,IF(E30="HLTA Max",Data!$B$7,IF(E30="Teacher",Data!$B$3,0)))))</f>
        <v>0</v>
      </c>
      <c r="G30" s="27"/>
      <c r="H30" s="27"/>
      <c r="I30" s="2"/>
      <c r="J30" s="25">
        <f t="shared" ref="J30:J49" si="10">+H30*G30</f>
        <v>0</v>
      </c>
      <c r="K30" s="25" t="str">
        <f t="shared" ref="K30:K49" si="11">IF(C30=0,"",J30/C30)</f>
        <v/>
      </c>
      <c r="L30" s="26" t="str">
        <f t="shared" ref="L30:L49" si="12">IFERROR(K30/60, "")</f>
        <v/>
      </c>
      <c r="M30" s="85" t="str">
        <f t="shared" ref="M30:M49" si="13">IFERROR(L30*F30,"")</f>
        <v/>
      </c>
      <c r="N30" s="85" t="str">
        <f t="shared" ref="N30:N49" si="14">IFERROR(M30*I30,"")</f>
        <v/>
      </c>
      <c r="O30" s="93"/>
      <c r="P30" s="94"/>
      <c r="Q30" s="94"/>
      <c r="R30" s="94"/>
      <c r="S30" s="95"/>
    </row>
    <row r="31" spans="2:25" ht="38.15" customHeight="1" x14ac:dyDescent="0.35">
      <c r="B31" s="32"/>
      <c r="C31" s="27"/>
      <c r="D31" s="1"/>
      <c r="E31" s="1"/>
      <c r="F31" s="85">
        <f>IF(E31="TA Avg",Data!$B$4,IF(E31="TA Max",Data!$B$5,IF(E31="HLTA Avg",Data!$B$6,IF(E31="HLTA Max",Data!$B$7,IF(E31="Teacher",Data!$B$3,0)))))</f>
        <v>0</v>
      </c>
      <c r="G31" s="27"/>
      <c r="H31" s="27"/>
      <c r="I31" s="2"/>
      <c r="J31" s="25">
        <f t="shared" si="10"/>
        <v>0</v>
      </c>
      <c r="K31" s="25" t="str">
        <f t="shared" si="11"/>
        <v/>
      </c>
      <c r="L31" s="26" t="str">
        <f t="shared" si="12"/>
        <v/>
      </c>
      <c r="M31" s="85" t="str">
        <f t="shared" si="13"/>
        <v/>
      </c>
      <c r="N31" s="85" t="str">
        <f t="shared" si="14"/>
        <v/>
      </c>
      <c r="O31" s="93"/>
      <c r="P31" s="94"/>
      <c r="Q31" s="94"/>
      <c r="R31" s="94"/>
      <c r="S31" s="95"/>
    </row>
    <row r="32" spans="2:25" ht="38.15" customHeight="1" x14ac:dyDescent="0.35">
      <c r="B32" s="32"/>
      <c r="C32" s="27"/>
      <c r="D32" s="1"/>
      <c r="E32" s="1"/>
      <c r="F32" s="85">
        <f>IF(E32="TA Avg",Data!$B$4,IF(E32="TA Max",Data!$B$5,IF(E32="HLTA Avg",Data!$B$6,IF(E32="HLTA Max",Data!$B$7,IF(E32="Teacher",Data!$B$3,0)))))</f>
        <v>0</v>
      </c>
      <c r="G32" s="27"/>
      <c r="H32" s="27"/>
      <c r="I32" s="2"/>
      <c r="J32" s="25">
        <f t="shared" si="10"/>
        <v>0</v>
      </c>
      <c r="K32" s="25" t="str">
        <f t="shared" si="11"/>
        <v/>
      </c>
      <c r="L32" s="26" t="str">
        <f t="shared" si="12"/>
        <v/>
      </c>
      <c r="M32" s="85" t="str">
        <f t="shared" si="13"/>
        <v/>
      </c>
      <c r="N32" s="85" t="str">
        <f t="shared" si="14"/>
        <v/>
      </c>
      <c r="O32" s="93"/>
      <c r="P32" s="94"/>
      <c r="Q32" s="94"/>
      <c r="R32" s="94"/>
      <c r="S32" s="95"/>
      <c r="Y32" s="3"/>
    </row>
    <row r="33" spans="2:19" ht="38.15" customHeight="1" x14ac:dyDescent="0.35">
      <c r="B33" s="32"/>
      <c r="C33" s="27"/>
      <c r="D33" s="1"/>
      <c r="E33" s="1"/>
      <c r="F33" s="85">
        <f>IF(E33="TA Avg",Data!$B$4,IF(E33="TA Max",Data!$B$5,IF(E33="HLTA Avg",Data!$B$6,IF(E33="HLTA Max",Data!$B$7,IF(E33="Teacher",Data!$B$3,0)))))</f>
        <v>0</v>
      </c>
      <c r="G33" s="27"/>
      <c r="H33" s="27"/>
      <c r="I33" s="2"/>
      <c r="J33" s="25">
        <f t="shared" si="10"/>
        <v>0</v>
      </c>
      <c r="K33" s="25" t="str">
        <f t="shared" si="11"/>
        <v/>
      </c>
      <c r="L33" s="26" t="str">
        <f t="shared" si="12"/>
        <v/>
      </c>
      <c r="M33" s="85" t="str">
        <f t="shared" si="13"/>
        <v/>
      </c>
      <c r="N33" s="85" t="str">
        <f t="shared" si="14"/>
        <v/>
      </c>
      <c r="O33" s="93"/>
      <c r="P33" s="94"/>
      <c r="Q33" s="94"/>
      <c r="R33" s="94"/>
      <c r="S33" s="95"/>
    </row>
    <row r="34" spans="2:19" ht="38.15" customHeight="1" x14ac:dyDescent="0.35">
      <c r="B34" s="32"/>
      <c r="C34" s="27"/>
      <c r="D34" s="1"/>
      <c r="E34" s="1"/>
      <c r="F34" s="85">
        <f>IF(E34="TA Avg",Data!$B$4,IF(E34="TA Max",Data!$B$5,IF(E34="HLTA Avg",Data!$B$6,IF(E34="HLTA Max",Data!$B$7,IF(E34="Teacher",Data!$B$3,0)))))</f>
        <v>0</v>
      </c>
      <c r="G34" s="27"/>
      <c r="H34" s="27"/>
      <c r="I34" s="2"/>
      <c r="J34" s="25">
        <f t="shared" si="10"/>
        <v>0</v>
      </c>
      <c r="K34" s="25" t="str">
        <f t="shared" si="11"/>
        <v/>
      </c>
      <c r="L34" s="26" t="str">
        <f t="shared" si="12"/>
        <v/>
      </c>
      <c r="M34" s="85" t="str">
        <f t="shared" si="13"/>
        <v/>
      </c>
      <c r="N34" s="85" t="str">
        <f t="shared" si="14"/>
        <v/>
      </c>
      <c r="O34" s="93"/>
      <c r="P34" s="94"/>
      <c r="Q34" s="94"/>
      <c r="R34" s="94"/>
      <c r="S34" s="95"/>
    </row>
    <row r="35" spans="2:19" ht="38.15" customHeight="1" x14ac:dyDescent="0.35">
      <c r="B35" s="32"/>
      <c r="C35" s="27"/>
      <c r="D35" s="1"/>
      <c r="E35" s="1"/>
      <c r="F35" s="85">
        <f>IF(E35="TA Avg",Data!$B$4,IF(E35="TA Max",Data!$B$5,IF(E35="HLTA Avg",Data!$B$6,IF(E35="HLTA Max",Data!$B$7,IF(E35="Teacher",Data!$B$3,0)))))</f>
        <v>0</v>
      </c>
      <c r="G35" s="27"/>
      <c r="H35" s="27"/>
      <c r="I35" s="2"/>
      <c r="J35" s="25">
        <f t="shared" si="10"/>
        <v>0</v>
      </c>
      <c r="K35" s="25" t="str">
        <f t="shared" si="11"/>
        <v/>
      </c>
      <c r="L35" s="26" t="str">
        <f t="shared" si="12"/>
        <v/>
      </c>
      <c r="M35" s="85" t="str">
        <f t="shared" si="13"/>
        <v/>
      </c>
      <c r="N35" s="85" t="str">
        <f t="shared" si="14"/>
        <v/>
      </c>
      <c r="O35" s="93"/>
      <c r="P35" s="94"/>
      <c r="Q35" s="94"/>
      <c r="R35" s="94"/>
      <c r="S35" s="95"/>
    </row>
    <row r="36" spans="2:19" ht="38.15" customHeight="1" x14ac:dyDescent="0.35">
      <c r="B36" s="32"/>
      <c r="C36" s="27"/>
      <c r="D36" s="1"/>
      <c r="E36" s="1"/>
      <c r="F36" s="85">
        <f>IF(E36="TA Avg",Data!$B$4,IF(E36="TA Max",Data!$B$5,IF(E36="HLTA Avg",Data!$B$6,IF(E36="HLTA Max",Data!$B$7,IF(E36="Teacher",Data!$B$3,0)))))</f>
        <v>0</v>
      </c>
      <c r="G36" s="27"/>
      <c r="H36" s="27"/>
      <c r="I36" s="2"/>
      <c r="J36" s="25">
        <f t="shared" si="10"/>
        <v>0</v>
      </c>
      <c r="K36" s="25" t="str">
        <f t="shared" si="11"/>
        <v/>
      </c>
      <c r="L36" s="26" t="str">
        <f t="shared" si="12"/>
        <v/>
      </c>
      <c r="M36" s="85" t="str">
        <f t="shared" si="13"/>
        <v/>
      </c>
      <c r="N36" s="85" t="str">
        <f t="shared" si="14"/>
        <v/>
      </c>
      <c r="O36" s="93"/>
      <c r="P36" s="94"/>
      <c r="Q36" s="94"/>
      <c r="R36" s="94"/>
      <c r="S36" s="95"/>
    </row>
    <row r="37" spans="2:19" ht="38.15" customHeight="1" x14ac:dyDescent="0.35">
      <c r="B37" s="32"/>
      <c r="C37" s="27"/>
      <c r="D37" s="1"/>
      <c r="E37" s="1"/>
      <c r="F37" s="85">
        <f>IF(E37="TA Avg",Data!$B$4,IF(E37="TA Max",Data!$B$5,IF(E37="HLTA Avg",Data!$B$6,IF(E37="HLTA Max",Data!$B$7,IF(E37="Teacher",Data!$B$3,0)))))</f>
        <v>0</v>
      </c>
      <c r="G37" s="27"/>
      <c r="H37" s="27"/>
      <c r="I37" s="2"/>
      <c r="J37" s="25">
        <f t="shared" si="10"/>
        <v>0</v>
      </c>
      <c r="K37" s="25" t="str">
        <f t="shared" si="11"/>
        <v/>
      </c>
      <c r="L37" s="26" t="str">
        <f t="shared" si="12"/>
        <v/>
      </c>
      <c r="M37" s="85" t="str">
        <f t="shared" si="13"/>
        <v/>
      </c>
      <c r="N37" s="85" t="str">
        <f t="shared" si="14"/>
        <v/>
      </c>
      <c r="O37" s="93"/>
      <c r="P37" s="94"/>
      <c r="Q37" s="94"/>
      <c r="R37" s="94"/>
      <c r="S37" s="95"/>
    </row>
    <row r="38" spans="2:19" ht="38.15" customHeight="1" x14ac:dyDescent="0.35">
      <c r="B38" s="32"/>
      <c r="C38" s="27"/>
      <c r="D38" s="1"/>
      <c r="E38" s="1"/>
      <c r="F38" s="85">
        <f>IF(E38="TA Avg",Data!$B$4,IF(E38="TA Max",Data!$B$5,IF(E38="HLTA Avg",Data!$B$6,IF(E38="HLTA Max",Data!$B$7,IF(E38="Teacher",Data!$B$3,0)))))</f>
        <v>0</v>
      </c>
      <c r="G38" s="27"/>
      <c r="H38" s="27"/>
      <c r="I38" s="2"/>
      <c r="J38" s="25">
        <f t="shared" ref="J38:J42" si="15">+H38*G38</f>
        <v>0</v>
      </c>
      <c r="K38" s="25" t="str">
        <f t="shared" ref="K38:K42" si="16">IF(C38=0,"",J38/C38)</f>
        <v/>
      </c>
      <c r="L38" s="26" t="str">
        <f t="shared" ref="L38:L42" si="17">IFERROR(K38/60, "")</f>
        <v/>
      </c>
      <c r="M38" s="85" t="str">
        <f t="shared" ref="M38:M42" si="18">IFERROR(L38*F38,"")</f>
        <v/>
      </c>
      <c r="N38" s="85" t="str">
        <f t="shared" ref="N38:N42" si="19">IFERROR(M38*I38,"")</f>
        <v/>
      </c>
      <c r="O38" s="93"/>
      <c r="P38" s="94"/>
      <c r="Q38" s="94"/>
      <c r="R38" s="94"/>
      <c r="S38" s="95"/>
    </row>
    <row r="39" spans="2:19" ht="38.15" customHeight="1" x14ac:dyDescent="0.35">
      <c r="B39" s="32"/>
      <c r="C39" s="27"/>
      <c r="D39" s="1"/>
      <c r="E39" s="1"/>
      <c r="F39" s="85">
        <f>IF(E39="TA Avg",Data!$B$4,IF(E39="TA Max",Data!$B$5,IF(E39="HLTA Avg",Data!$B$6,IF(E39="HLTA Max",Data!$B$7,IF(E39="Teacher",Data!$B$3,0)))))</f>
        <v>0</v>
      </c>
      <c r="G39" s="27"/>
      <c r="H39" s="27"/>
      <c r="I39" s="2"/>
      <c r="J39" s="25">
        <f t="shared" si="15"/>
        <v>0</v>
      </c>
      <c r="K39" s="25" t="str">
        <f t="shared" si="16"/>
        <v/>
      </c>
      <c r="L39" s="26" t="str">
        <f t="shared" si="17"/>
        <v/>
      </c>
      <c r="M39" s="85" t="str">
        <f t="shared" si="18"/>
        <v/>
      </c>
      <c r="N39" s="85" t="str">
        <f t="shared" si="19"/>
        <v/>
      </c>
      <c r="O39" s="93"/>
      <c r="P39" s="94"/>
      <c r="Q39" s="94"/>
      <c r="R39" s="94"/>
      <c r="S39" s="95"/>
    </row>
    <row r="40" spans="2:19" ht="38.15" customHeight="1" x14ac:dyDescent="0.35">
      <c r="B40" s="32"/>
      <c r="C40" s="27"/>
      <c r="D40" s="1"/>
      <c r="E40" s="1"/>
      <c r="F40" s="85">
        <f>IF(E40="TA Avg",Data!$B$4,IF(E40="TA Max",Data!$B$5,IF(E40="HLTA Avg",Data!$B$6,IF(E40="HLTA Max",Data!$B$7,IF(E40="Teacher",Data!$B$3,0)))))</f>
        <v>0</v>
      </c>
      <c r="G40" s="27"/>
      <c r="H40" s="27"/>
      <c r="I40" s="2"/>
      <c r="J40" s="25">
        <f t="shared" si="15"/>
        <v>0</v>
      </c>
      <c r="K40" s="25" t="str">
        <f t="shared" si="16"/>
        <v/>
      </c>
      <c r="L40" s="26" t="str">
        <f t="shared" si="17"/>
        <v/>
      </c>
      <c r="M40" s="85" t="str">
        <f t="shared" si="18"/>
        <v/>
      </c>
      <c r="N40" s="85" t="str">
        <f t="shared" si="19"/>
        <v/>
      </c>
      <c r="O40" s="93"/>
      <c r="P40" s="94"/>
      <c r="Q40" s="94"/>
      <c r="R40" s="94"/>
      <c r="S40" s="95"/>
    </row>
    <row r="41" spans="2:19" ht="38.15" customHeight="1" x14ac:dyDescent="0.35">
      <c r="B41" s="32"/>
      <c r="C41" s="27"/>
      <c r="D41" s="1"/>
      <c r="E41" s="1"/>
      <c r="F41" s="85">
        <f>IF(E41="TA Avg",Data!$B$4,IF(E41="TA Max",Data!$B$5,IF(E41="HLTA Avg",Data!$B$6,IF(E41="HLTA Max",Data!$B$7,IF(E41="Teacher",Data!$B$3,0)))))</f>
        <v>0</v>
      </c>
      <c r="G41" s="27"/>
      <c r="H41" s="27"/>
      <c r="I41" s="2"/>
      <c r="J41" s="25">
        <f t="shared" si="15"/>
        <v>0</v>
      </c>
      <c r="K41" s="25" t="str">
        <f t="shared" si="16"/>
        <v/>
      </c>
      <c r="L41" s="26" t="str">
        <f t="shared" si="17"/>
        <v/>
      </c>
      <c r="M41" s="85" t="str">
        <f t="shared" si="18"/>
        <v/>
      </c>
      <c r="N41" s="85" t="str">
        <f t="shared" si="19"/>
        <v/>
      </c>
      <c r="O41" s="93"/>
      <c r="P41" s="94"/>
      <c r="Q41" s="94"/>
      <c r="R41" s="94"/>
      <c r="S41" s="95"/>
    </row>
    <row r="42" spans="2:19" ht="38.15" customHeight="1" x14ac:dyDescent="0.35">
      <c r="B42" s="32"/>
      <c r="C42" s="27"/>
      <c r="D42" s="1"/>
      <c r="E42" s="1"/>
      <c r="F42" s="85">
        <f>IF(E42="TA Avg",Data!$B$4,IF(E42="TA Max",Data!$B$5,IF(E42="HLTA Avg",Data!$B$6,IF(E42="HLTA Max",Data!$B$7,IF(E42="Teacher",Data!$B$3,0)))))</f>
        <v>0</v>
      </c>
      <c r="G42" s="27"/>
      <c r="H42" s="27"/>
      <c r="I42" s="2"/>
      <c r="J42" s="25">
        <f t="shared" si="15"/>
        <v>0</v>
      </c>
      <c r="K42" s="25" t="str">
        <f t="shared" si="16"/>
        <v/>
      </c>
      <c r="L42" s="26" t="str">
        <f t="shared" si="17"/>
        <v/>
      </c>
      <c r="M42" s="85" t="str">
        <f t="shared" si="18"/>
        <v/>
      </c>
      <c r="N42" s="85" t="str">
        <f t="shared" si="19"/>
        <v/>
      </c>
      <c r="O42" s="93"/>
      <c r="P42" s="94"/>
      <c r="Q42" s="94"/>
      <c r="R42" s="94"/>
      <c r="S42" s="95"/>
    </row>
    <row r="43" spans="2:19" ht="38.15" customHeight="1" x14ac:dyDescent="0.35">
      <c r="B43" s="32"/>
      <c r="C43" s="27"/>
      <c r="D43" s="1"/>
      <c r="E43" s="1"/>
      <c r="F43" s="85">
        <f>IF(E43="TA Avg",Data!$B$4,IF(E43="TA Max",Data!$B$5,IF(E43="HLTA Avg",Data!$B$6,IF(E43="HLTA Max",Data!$B$7,IF(E43="Teacher",Data!$B$3,0)))))</f>
        <v>0</v>
      </c>
      <c r="G43" s="27"/>
      <c r="H43" s="27"/>
      <c r="I43" s="2"/>
      <c r="J43" s="25">
        <f t="shared" si="10"/>
        <v>0</v>
      </c>
      <c r="K43" s="25" t="str">
        <f t="shared" si="11"/>
        <v/>
      </c>
      <c r="L43" s="26" t="str">
        <f t="shared" si="12"/>
        <v/>
      </c>
      <c r="M43" s="85" t="str">
        <f t="shared" si="13"/>
        <v/>
      </c>
      <c r="N43" s="85" t="str">
        <f t="shared" si="14"/>
        <v/>
      </c>
      <c r="O43" s="93"/>
      <c r="P43" s="94"/>
      <c r="Q43" s="94"/>
      <c r="R43" s="94"/>
      <c r="S43" s="95"/>
    </row>
    <row r="44" spans="2:19" ht="38.15" customHeight="1" x14ac:dyDescent="0.35">
      <c r="B44" s="32"/>
      <c r="C44" s="27"/>
      <c r="D44" s="1"/>
      <c r="E44" s="1"/>
      <c r="F44" s="85">
        <f>IF(E44="TA Avg",Data!$B$4,IF(E44="TA Max",Data!$B$5,IF(E44="HLTA Avg",Data!$B$6,IF(E44="HLTA Max",Data!$B$7,IF(E44="Teacher",Data!$B$3,0)))))</f>
        <v>0</v>
      </c>
      <c r="G44" s="27"/>
      <c r="H44" s="27"/>
      <c r="I44" s="2"/>
      <c r="J44" s="25">
        <f t="shared" si="10"/>
        <v>0</v>
      </c>
      <c r="K44" s="25" t="str">
        <f t="shared" si="11"/>
        <v/>
      </c>
      <c r="L44" s="26" t="str">
        <f t="shared" si="12"/>
        <v/>
      </c>
      <c r="M44" s="85" t="str">
        <f t="shared" si="13"/>
        <v/>
      </c>
      <c r="N44" s="85" t="str">
        <f t="shared" si="14"/>
        <v/>
      </c>
      <c r="O44" s="93"/>
      <c r="P44" s="94"/>
      <c r="Q44" s="94"/>
      <c r="R44" s="94"/>
      <c r="S44" s="95"/>
    </row>
    <row r="45" spans="2:19" ht="38.15" customHeight="1" x14ac:dyDescent="0.35">
      <c r="B45" s="32"/>
      <c r="C45" s="27"/>
      <c r="D45" s="1"/>
      <c r="E45" s="1"/>
      <c r="F45" s="85">
        <f>IF(E45="TA Avg",Data!$B$4,IF(E45="TA Max",Data!$B$5,IF(E45="HLTA Avg",Data!$B$6,IF(E45="HLTA Max",Data!$B$7,IF(E45="Teacher",Data!$B$3,0)))))</f>
        <v>0</v>
      </c>
      <c r="G45" s="27"/>
      <c r="H45" s="27"/>
      <c r="I45" s="2"/>
      <c r="J45" s="25">
        <f t="shared" si="10"/>
        <v>0</v>
      </c>
      <c r="K45" s="25" t="str">
        <f t="shared" si="11"/>
        <v/>
      </c>
      <c r="L45" s="26" t="str">
        <f t="shared" si="12"/>
        <v/>
      </c>
      <c r="M45" s="85" t="str">
        <f t="shared" si="13"/>
        <v/>
      </c>
      <c r="N45" s="85" t="str">
        <f t="shared" si="14"/>
        <v/>
      </c>
      <c r="O45" s="93"/>
      <c r="P45" s="94"/>
      <c r="Q45" s="94"/>
      <c r="R45" s="94"/>
      <c r="S45" s="95"/>
    </row>
    <row r="46" spans="2:19" s="3" customFormat="1" ht="38.15" customHeight="1" x14ac:dyDescent="0.35">
      <c r="B46" s="32"/>
      <c r="C46" s="27"/>
      <c r="D46" s="1"/>
      <c r="E46" s="1"/>
      <c r="F46" s="85">
        <f>IF(E46="TA Avg",Data!$B$4,IF(E46="TA Max",Data!$B$5,IF(E46="HLTA Avg",Data!$B$6,IF(E46="HLTA Max",Data!$B$7,IF(E46="Teacher",Data!$B$3,0)))))</f>
        <v>0</v>
      </c>
      <c r="G46" s="27"/>
      <c r="H46" s="27"/>
      <c r="I46" s="2"/>
      <c r="J46" s="25">
        <f t="shared" si="10"/>
        <v>0</v>
      </c>
      <c r="K46" s="25" t="str">
        <f t="shared" si="11"/>
        <v/>
      </c>
      <c r="L46" s="26" t="str">
        <f t="shared" si="12"/>
        <v/>
      </c>
      <c r="M46" s="85" t="str">
        <f t="shared" si="13"/>
        <v/>
      </c>
      <c r="N46" s="85" t="str">
        <f t="shared" si="14"/>
        <v/>
      </c>
      <c r="O46" s="93"/>
      <c r="P46" s="94"/>
      <c r="Q46" s="94"/>
      <c r="R46" s="94"/>
      <c r="S46" s="95"/>
    </row>
    <row r="47" spans="2:19" ht="38.15" customHeight="1" x14ac:dyDescent="0.35">
      <c r="B47" s="32"/>
      <c r="C47" s="27"/>
      <c r="D47" s="1"/>
      <c r="E47" s="1"/>
      <c r="F47" s="85">
        <f>IF(E47="TA Avg",Data!$B$4,IF(E47="TA Max",Data!$B$5,IF(E47="HLTA Avg",Data!$B$6,IF(E47="HLTA Max",Data!$B$7,IF(E47="Teacher",Data!$B$3,0)))))</f>
        <v>0</v>
      </c>
      <c r="G47" s="27"/>
      <c r="H47" s="27"/>
      <c r="I47" s="2"/>
      <c r="J47" s="25">
        <f t="shared" si="10"/>
        <v>0</v>
      </c>
      <c r="K47" s="25" t="str">
        <f t="shared" si="11"/>
        <v/>
      </c>
      <c r="L47" s="26" t="str">
        <f t="shared" si="12"/>
        <v/>
      </c>
      <c r="M47" s="85" t="str">
        <f t="shared" si="13"/>
        <v/>
      </c>
      <c r="N47" s="85" t="str">
        <f t="shared" si="14"/>
        <v/>
      </c>
      <c r="O47" s="93"/>
      <c r="P47" s="94"/>
      <c r="Q47" s="94"/>
      <c r="R47" s="94"/>
      <c r="S47" s="95"/>
    </row>
    <row r="48" spans="2:19" ht="38.15" customHeight="1" x14ac:dyDescent="0.35">
      <c r="B48" s="32"/>
      <c r="C48" s="27"/>
      <c r="D48" s="1"/>
      <c r="E48" s="1"/>
      <c r="F48" s="85">
        <f>IF(E48="TA Avg",Data!$B$4,IF(E48="TA Max",Data!$B$5,IF(E48="HLTA Avg",Data!$B$6,IF(E48="HLTA Max",Data!$B$7,IF(E48="Teacher",Data!$B$3,0)))))</f>
        <v>0</v>
      </c>
      <c r="G48" s="27"/>
      <c r="H48" s="27"/>
      <c r="I48" s="2"/>
      <c r="J48" s="25">
        <f t="shared" si="10"/>
        <v>0</v>
      </c>
      <c r="K48" s="25" t="str">
        <f t="shared" si="11"/>
        <v/>
      </c>
      <c r="L48" s="26" t="str">
        <f t="shared" si="12"/>
        <v/>
      </c>
      <c r="M48" s="85" t="str">
        <f t="shared" si="13"/>
        <v/>
      </c>
      <c r="N48" s="85" t="str">
        <f t="shared" si="14"/>
        <v/>
      </c>
      <c r="O48" s="93"/>
      <c r="P48" s="94"/>
      <c r="Q48" s="94"/>
      <c r="R48" s="94"/>
      <c r="S48" s="95"/>
    </row>
    <row r="49" spans="2:19" ht="38.15" customHeight="1" thickBot="1" x14ac:dyDescent="0.4">
      <c r="B49" s="32"/>
      <c r="C49" s="27"/>
      <c r="D49" s="1"/>
      <c r="E49" s="1"/>
      <c r="F49" s="85">
        <f>IF(E49="TA Avg",Data!$B$4,IF(E49="TA Max",Data!$B$5,IF(E49="HLTA Avg",Data!$B$6,IF(E49="HLTA Max",Data!$B$7,IF(E49="Teacher",Data!$B$3,0)))))</f>
        <v>0</v>
      </c>
      <c r="G49" s="27"/>
      <c r="H49" s="27"/>
      <c r="I49" s="2"/>
      <c r="J49" s="25">
        <f t="shared" si="10"/>
        <v>0</v>
      </c>
      <c r="K49" s="25" t="str">
        <f t="shared" si="11"/>
        <v/>
      </c>
      <c r="L49" s="26" t="str">
        <f t="shared" si="12"/>
        <v/>
      </c>
      <c r="M49" s="85" t="str">
        <f t="shared" si="13"/>
        <v/>
      </c>
      <c r="N49" s="85" t="str">
        <f t="shared" si="14"/>
        <v/>
      </c>
      <c r="O49" s="93"/>
      <c r="P49" s="94"/>
      <c r="Q49" s="94"/>
      <c r="R49" s="94"/>
      <c r="S49" s="95"/>
    </row>
    <row r="50" spans="2:19" ht="16" thickBot="1" x14ac:dyDescent="0.4">
      <c r="B50" s="70"/>
      <c r="C50" s="70"/>
      <c r="D50" s="70"/>
      <c r="E50" s="114" t="s">
        <v>27</v>
      </c>
      <c r="F50" s="115"/>
      <c r="G50" s="115"/>
      <c r="H50" s="115"/>
      <c r="I50" s="116"/>
      <c r="J50" s="71">
        <f>SUM(J20:J49)</f>
        <v>1340</v>
      </c>
      <c r="K50" s="72">
        <f>SUM(K20:K49)</f>
        <v>1140</v>
      </c>
      <c r="L50" s="73">
        <f t="shared" ref="L50:N50" si="20">SUM(L20:L49)</f>
        <v>19</v>
      </c>
      <c r="M50" s="74">
        <f t="shared" si="20"/>
        <v>459.33333333333337</v>
      </c>
      <c r="N50" s="74">
        <f t="shared" si="20"/>
        <v>16967.166666666668</v>
      </c>
      <c r="O50" s="117"/>
      <c r="P50" s="118"/>
      <c r="Q50" s="118"/>
      <c r="R50" s="118"/>
      <c r="S50" s="118"/>
    </row>
    <row r="51" spans="2:19" x14ac:dyDescent="0.35">
      <c r="E51" s="9"/>
      <c r="F51" s="7"/>
      <c r="G51" s="7"/>
      <c r="H51" s="7"/>
      <c r="I51" s="7"/>
      <c r="J51" s="8"/>
      <c r="K51" s="8"/>
      <c r="L51" s="8"/>
      <c r="M51" s="6"/>
      <c r="N51" s="6"/>
      <c r="O51" s="5"/>
      <c r="P51" s="5"/>
      <c r="Q51" s="5"/>
      <c r="R51" s="5"/>
      <c r="S51" s="5"/>
    </row>
    <row r="52" spans="2:19" ht="26" x14ac:dyDescent="0.35">
      <c r="B52" s="108" t="s">
        <v>28</v>
      </c>
      <c r="C52" s="109"/>
      <c r="D52" s="109"/>
      <c r="E52" s="109"/>
      <c r="F52" s="109"/>
      <c r="G52" s="109"/>
      <c r="H52" s="109"/>
      <c r="I52" s="109"/>
      <c r="J52" s="110"/>
      <c r="K52" s="75" t="s">
        <v>20</v>
      </c>
      <c r="L52" s="68" t="s">
        <v>29</v>
      </c>
      <c r="M52" s="69" t="s">
        <v>24</v>
      </c>
      <c r="N52" s="69" t="s">
        <v>25</v>
      </c>
      <c r="O52" s="111" t="s">
        <v>26</v>
      </c>
      <c r="P52" s="146"/>
      <c r="Q52" s="146"/>
      <c r="R52" s="112"/>
      <c r="S52" s="113"/>
    </row>
    <row r="53" spans="2:19" x14ac:dyDescent="0.35">
      <c r="B53" s="86" t="s">
        <v>116</v>
      </c>
      <c r="C53" s="87"/>
      <c r="D53" s="87"/>
      <c r="E53" s="87"/>
      <c r="F53" s="87"/>
      <c r="G53" s="87"/>
      <c r="H53" s="87"/>
      <c r="I53" s="87"/>
      <c r="J53" s="88"/>
      <c r="K53" s="21">
        <v>1</v>
      </c>
      <c r="L53" s="29">
        <v>20</v>
      </c>
      <c r="M53" s="22"/>
      <c r="N53" s="30">
        <f t="shared" ref="N53:N61" si="21">M53*K53+L53</f>
        <v>20</v>
      </c>
      <c r="O53" s="89"/>
      <c r="P53" s="90"/>
      <c r="Q53" s="90"/>
      <c r="R53" s="90"/>
      <c r="S53" s="91"/>
    </row>
    <row r="54" spans="2:19" x14ac:dyDescent="0.35">
      <c r="B54" s="92" t="s">
        <v>117</v>
      </c>
      <c r="C54" s="87"/>
      <c r="D54" s="87"/>
      <c r="E54" s="87"/>
      <c r="F54" s="87"/>
      <c r="G54" s="87"/>
      <c r="H54" s="87"/>
      <c r="I54" s="87"/>
      <c r="J54" s="88"/>
      <c r="K54" s="21">
        <v>1</v>
      </c>
      <c r="L54" s="29">
        <v>15</v>
      </c>
      <c r="M54" s="22"/>
      <c r="N54" s="30">
        <f t="shared" si="21"/>
        <v>15</v>
      </c>
      <c r="O54" s="89"/>
      <c r="P54" s="90"/>
      <c r="Q54" s="90"/>
      <c r="R54" s="90"/>
      <c r="S54" s="91"/>
    </row>
    <row r="55" spans="2:19" x14ac:dyDescent="0.35">
      <c r="B55" s="92" t="s">
        <v>118</v>
      </c>
      <c r="C55" s="87"/>
      <c r="D55" s="87"/>
      <c r="E55" s="87"/>
      <c r="F55" s="87"/>
      <c r="G55" s="87"/>
      <c r="H55" s="87"/>
      <c r="I55" s="87"/>
      <c r="J55" s="88"/>
      <c r="K55" s="29">
        <v>11</v>
      </c>
      <c r="L55" s="21"/>
      <c r="M55" s="31">
        <v>60</v>
      </c>
      <c r="N55" s="30">
        <f t="shared" ref="N55:N59" si="22">M55*K55+L55</f>
        <v>660</v>
      </c>
      <c r="O55" s="89"/>
      <c r="P55" s="90"/>
      <c r="Q55" s="90"/>
      <c r="R55" s="90"/>
      <c r="S55" s="91"/>
    </row>
    <row r="56" spans="2:19" x14ac:dyDescent="0.35">
      <c r="B56" s="92" t="s">
        <v>119</v>
      </c>
      <c r="C56" s="87"/>
      <c r="D56" s="87"/>
      <c r="E56" s="87"/>
      <c r="F56" s="87"/>
      <c r="G56" s="87"/>
      <c r="H56" s="87"/>
      <c r="I56" s="87"/>
      <c r="J56" s="88"/>
      <c r="K56" s="29">
        <v>11</v>
      </c>
      <c r="L56" s="21"/>
      <c r="M56" s="31">
        <v>45</v>
      </c>
      <c r="N56" s="30">
        <f t="shared" si="22"/>
        <v>495</v>
      </c>
      <c r="O56" s="89"/>
      <c r="P56" s="90"/>
      <c r="Q56" s="90"/>
      <c r="R56" s="90"/>
      <c r="S56" s="91"/>
    </row>
    <row r="57" spans="2:19" x14ac:dyDescent="0.35">
      <c r="B57" s="86"/>
      <c r="C57" s="87"/>
      <c r="D57" s="87"/>
      <c r="E57" s="87"/>
      <c r="F57" s="87"/>
      <c r="G57" s="87"/>
      <c r="H57" s="87"/>
      <c r="I57" s="87"/>
      <c r="J57" s="88"/>
      <c r="K57" s="44"/>
      <c r="L57" s="82"/>
      <c r="M57" s="83"/>
      <c r="N57" s="30">
        <f t="shared" si="22"/>
        <v>0</v>
      </c>
      <c r="O57" s="89"/>
      <c r="P57" s="90"/>
      <c r="Q57" s="90"/>
      <c r="R57" s="90"/>
      <c r="S57" s="91"/>
    </row>
    <row r="58" spans="2:19" x14ac:dyDescent="0.35">
      <c r="B58" s="86"/>
      <c r="C58" s="87"/>
      <c r="D58" s="87"/>
      <c r="E58" s="87"/>
      <c r="F58" s="87"/>
      <c r="G58" s="87"/>
      <c r="H58" s="87"/>
      <c r="I58" s="87"/>
      <c r="J58" s="88"/>
      <c r="K58" s="44"/>
      <c r="L58" s="82"/>
      <c r="M58" s="83"/>
      <c r="N58" s="30">
        <f t="shared" si="22"/>
        <v>0</v>
      </c>
      <c r="O58" s="89"/>
      <c r="P58" s="90"/>
      <c r="Q58" s="90"/>
      <c r="R58" s="90"/>
      <c r="S58" s="91"/>
    </row>
    <row r="59" spans="2:19" x14ac:dyDescent="0.35">
      <c r="B59" s="86"/>
      <c r="C59" s="87"/>
      <c r="D59" s="87"/>
      <c r="E59" s="87"/>
      <c r="F59" s="87"/>
      <c r="G59" s="87"/>
      <c r="H59" s="87"/>
      <c r="I59" s="87"/>
      <c r="J59" s="88"/>
      <c r="K59" s="44"/>
      <c r="L59" s="82"/>
      <c r="M59" s="83"/>
      <c r="N59" s="30">
        <f t="shared" si="22"/>
        <v>0</v>
      </c>
      <c r="O59" s="89"/>
      <c r="P59" s="90"/>
      <c r="Q59" s="90"/>
      <c r="R59" s="90"/>
      <c r="S59" s="91"/>
    </row>
    <row r="60" spans="2:19" x14ac:dyDescent="0.35">
      <c r="B60" s="86"/>
      <c r="C60" s="87"/>
      <c r="D60" s="87"/>
      <c r="E60" s="87"/>
      <c r="F60" s="87"/>
      <c r="G60" s="87"/>
      <c r="H60" s="87"/>
      <c r="I60" s="87"/>
      <c r="J60" s="88"/>
      <c r="K60" s="44"/>
      <c r="L60" s="82"/>
      <c r="M60" s="83"/>
      <c r="N60" s="30">
        <f t="shared" si="21"/>
        <v>0</v>
      </c>
      <c r="O60" s="89"/>
      <c r="P60" s="90"/>
      <c r="Q60" s="90"/>
      <c r="R60" s="90"/>
      <c r="S60" s="91"/>
    </row>
    <row r="61" spans="2:19" x14ac:dyDescent="0.35">
      <c r="B61" s="86"/>
      <c r="C61" s="87"/>
      <c r="D61" s="87"/>
      <c r="E61" s="87"/>
      <c r="F61" s="87"/>
      <c r="G61" s="87"/>
      <c r="H61" s="87"/>
      <c r="I61" s="87"/>
      <c r="J61" s="88"/>
      <c r="K61" s="44"/>
      <c r="L61" s="82"/>
      <c r="M61" s="83"/>
      <c r="N61" s="30">
        <f t="shared" si="21"/>
        <v>0</v>
      </c>
      <c r="O61" s="89"/>
      <c r="P61" s="90"/>
      <c r="Q61" s="90"/>
      <c r="R61" s="90"/>
      <c r="S61" s="91"/>
    </row>
    <row r="62" spans="2:19" x14ac:dyDescent="0.35">
      <c r="B62" s="86"/>
      <c r="C62" s="87"/>
      <c r="D62" s="87"/>
      <c r="E62" s="87"/>
      <c r="F62" s="87"/>
      <c r="G62" s="87"/>
      <c r="H62" s="87"/>
      <c r="I62" s="87"/>
      <c r="J62" s="88"/>
      <c r="K62" s="21"/>
      <c r="L62" s="31"/>
      <c r="M62" s="22"/>
      <c r="N62" s="30">
        <f>M62*K62+L62</f>
        <v>0</v>
      </c>
      <c r="O62" s="89"/>
      <c r="P62" s="90"/>
      <c r="Q62" s="90"/>
      <c r="R62" s="90"/>
      <c r="S62" s="91"/>
    </row>
    <row r="63" spans="2:19" x14ac:dyDescent="0.35">
      <c r="B63" s="92"/>
      <c r="C63" s="87"/>
      <c r="D63" s="87"/>
      <c r="E63" s="87"/>
      <c r="F63" s="87"/>
      <c r="G63" s="87"/>
      <c r="H63" s="87"/>
      <c r="I63" s="87"/>
      <c r="J63" s="88"/>
      <c r="K63" s="21"/>
      <c r="L63" s="31"/>
      <c r="M63" s="22"/>
      <c r="N63" s="30">
        <f>M63*K63+L63</f>
        <v>0</v>
      </c>
      <c r="O63" s="89"/>
      <c r="P63" s="90"/>
      <c r="Q63" s="90"/>
      <c r="R63" s="90"/>
      <c r="S63" s="91"/>
    </row>
    <row r="64" spans="2:19" x14ac:dyDescent="0.35">
      <c r="B64" s="92"/>
      <c r="C64" s="87"/>
      <c r="D64" s="87"/>
      <c r="E64" s="87"/>
      <c r="F64" s="87"/>
      <c r="G64" s="87"/>
      <c r="H64" s="87"/>
      <c r="I64" s="87"/>
      <c r="J64" s="88"/>
      <c r="K64" s="29"/>
      <c r="L64" s="84"/>
      <c r="M64" s="31"/>
      <c r="N64" s="30">
        <f>M64*K64+L64</f>
        <v>0</v>
      </c>
      <c r="O64" s="89"/>
      <c r="P64" s="90"/>
      <c r="Q64" s="90"/>
      <c r="R64" s="90"/>
      <c r="S64" s="91"/>
    </row>
    <row r="65" spans="2:19" x14ac:dyDescent="0.35">
      <c r="B65" s="92"/>
      <c r="C65" s="87"/>
      <c r="D65" s="87"/>
      <c r="E65" s="87"/>
      <c r="F65" s="87"/>
      <c r="G65" s="87"/>
      <c r="H65" s="87"/>
      <c r="I65" s="87"/>
      <c r="J65" s="88"/>
      <c r="K65" s="29"/>
      <c r="L65" s="84"/>
      <c r="M65" s="31"/>
      <c r="N65" s="30">
        <f>M65*K65+L65</f>
        <v>0</v>
      </c>
      <c r="O65" s="89"/>
      <c r="P65" s="90"/>
      <c r="Q65" s="90"/>
      <c r="R65" s="90"/>
      <c r="S65" s="91"/>
    </row>
    <row r="66" spans="2:19" x14ac:dyDescent="0.35">
      <c r="C66" s="101"/>
      <c r="D66" s="101"/>
      <c r="E66" s="101"/>
      <c r="F66" s="101"/>
      <c r="G66" s="101"/>
      <c r="H66" s="101"/>
      <c r="I66" s="101"/>
      <c r="J66" s="101"/>
      <c r="K66" s="6"/>
      <c r="L66" s="6"/>
      <c r="M66" s="6"/>
      <c r="N66" s="6"/>
      <c r="O66" s="5"/>
      <c r="P66" s="5"/>
      <c r="Q66" s="5"/>
      <c r="R66" s="5"/>
      <c r="S66" s="5"/>
    </row>
    <row r="67" spans="2:19" ht="15.5" x14ac:dyDescent="0.35">
      <c r="B67" s="102" t="s">
        <v>30</v>
      </c>
      <c r="C67" s="102"/>
      <c r="D67" s="102"/>
      <c r="E67" s="102"/>
      <c r="F67" s="102"/>
      <c r="G67" s="102"/>
      <c r="H67" s="102"/>
      <c r="I67" s="102"/>
      <c r="J67" s="102"/>
      <c r="K67" s="49"/>
      <c r="L67" s="49"/>
      <c r="M67" s="49"/>
      <c r="N67" s="76">
        <f>SUM(N53:N65)</f>
        <v>1190</v>
      </c>
    </row>
    <row r="71" spans="2:19" ht="18" x14ac:dyDescent="0.35">
      <c r="B71" s="66" t="s">
        <v>31</v>
      </c>
    </row>
    <row r="72" spans="2:19" ht="18" x14ac:dyDescent="0.35">
      <c r="B72" s="18"/>
      <c r="G72" s="19"/>
    </row>
    <row r="73" spans="2:19" ht="65.5" customHeight="1" x14ac:dyDescent="0.35">
      <c r="B73" s="77" t="s">
        <v>32</v>
      </c>
      <c r="C73" s="46"/>
      <c r="D73" s="46"/>
      <c r="E73" s="46"/>
      <c r="F73" s="46"/>
      <c r="G73" s="78" t="s">
        <v>33</v>
      </c>
      <c r="H73" s="79" t="s">
        <v>34</v>
      </c>
      <c r="J73" s="103" t="s">
        <v>35</v>
      </c>
      <c r="K73" s="104"/>
      <c r="L73" s="104"/>
      <c r="M73" s="104"/>
      <c r="N73" s="104"/>
      <c r="O73" s="104"/>
      <c r="P73" s="104"/>
      <c r="Q73" s="104"/>
      <c r="R73" s="104"/>
      <c r="S73" s="104"/>
    </row>
    <row r="74" spans="2:19" ht="24.65" customHeight="1" x14ac:dyDescent="0.35">
      <c r="B74" s="16" t="s">
        <v>36</v>
      </c>
      <c r="C74" s="96" t="s">
        <v>37</v>
      </c>
      <c r="D74" s="99"/>
      <c r="E74" s="99"/>
      <c r="F74" s="100"/>
      <c r="G74" s="20" t="s">
        <v>81</v>
      </c>
      <c r="H74" s="34">
        <f>IF(G74="L1",Data!B17,IF(G74="U1",Data!B18,IF(G74="L2",Data!B19,IF(G74="U2",Data!B20,IF(G74="Band 3",Data!B21,IF(G74="Band 4",Data!B22,IF(G74="N/A", "please enter details opposite")))))))</f>
        <v>7833</v>
      </c>
      <c r="I74" s="15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2:19" ht="24.65" customHeight="1" x14ac:dyDescent="0.35">
      <c r="B75" s="16" t="s">
        <v>9</v>
      </c>
      <c r="C75" s="96" t="s">
        <v>39</v>
      </c>
      <c r="D75" s="99"/>
      <c r="E75" s="99"/>
      <c r="F75" s="100"/>
      <c r="G75" s="20"/>
      <c r="H75" s="17">
        <v>6000</v>
      </c>
      <c r="I75" s="15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2:19" ht="24.65" customHeight="1" x14ac:dyDescent="0.4">
      <c r="B76" s="49" t="s">
        <v>40</v>
      </c>
      <c r="C76" s="46"/>
      <c r="D76" s="46"/>
      <c r="E76" s="46"/>
      <c r="F76" s="46"/>
      <c r="G76" s="57"/>
      <c r="H76" s="76">
        <f>SUM(H74:H75)</f>
        <v>13833</v>
      </c>
      <c r="I76" s="15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2:19" ht="24.65" customHeight="1" x14ac:dyDescent="0.35">
      <c r="B77" s="35"/>
      <c r="C77" s="35"/>
      <c r="D77" s="35"/>
      <c r="E77" s="35"/>
      <c r="F77" s="35"/>
      <c r="G77" s="35"/>
      <c r="H77" s="38"/>
      <c r="I77" s="15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2:19" ht="24.65" customHeight="1" x14ac:dyDescent="0.4">
      <c r="B78" s="49" t="s">
        <v>41</v>
      </c>
      <c r="C78" s="46"/>
      <c r="D78" s="46"/>
      <c r="E78" s="46"/>
      <c r="F78" s="46"/>
      <c r="G78" s="80"/>
      <c r="H78" s="40"/>
      <c r="I78" s="15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2:19" ht="24.65" customHeight="1" x14ac:dyDescent="0.35">
      <c r="B79" s="16" t="s">
        <v>42</v>
      </c>
      <c r="C79" s="96" t="s">
        <v>43</v>
      </c>
      <c r="D79" s="97"/>
      <c r="E79" s="97"/>
      <c r="F79" s="98"/>
      <c r="G79" s="20" t="s">
        <v>70</v>
      </c>
      <c r="H79" s="40">
        <f>IF(G79="AWPU KS1&amp;2",3217,IF(G79="AWPU KS3",4536,IF(G79="AWPU KS4",5112,0)))</f>
        <v>4536</v>
      </c>
      <c r="I79" s="15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2:19" ht="24.65" customHeight="1" x14ac:dyDescent="0.35">
      <c r="B80" s="16" t="s">
        <v>44</v>
      </c>
      <c r="C80" s="96" t="s">
        <v>45</v>
      </c>
      <c r="D80" s="97"/>
      <c r="E80" s="97"/>
      <c r="F80" s="98"/>
      <c r="G80" s="20"/>
      <c r="H80" s="40">
        <f>IF(G80="FSM6 Primary",590,IF(G80="FSM Secondary",865,0))</f>
        <v>0</v>
      </c>
      <c r="I80" s="15"/>
      <c r="J80" s="137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2:19" ht="24.65" customHeight="1" x14ac:dyDescent="0.35">
      <c r="B81" s="16" t="s">
        <v>46</v>
      </c>
      <c r="C81" s="96" t="s">
        <v>47</v>
      </c>
      <c r="D81" s="97"/>
      <c r="E81" s="97"/>
      <c r="F81" s="98"/>
      <c r="G81" s="20" t="s">
        <v>78</v>
      </c>
      <c r="H81" s="40">
        <f>IF(G81="Low Prior Attainment Primary",1130,IF(G81="Low Prior Attainment Secondary",1710,0))</f>
        <v>1130</v>
      </c>
      <c r="I81" s="15"/>
      <c r="J81" s="137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2:19" ht="24.65" customHeight="1" x14ac:dyDescent="0.35">
      <c r="B82" s="16" t="s">
        <v>48</v>
      </c>
      <c r="C82" s="96" t="s">
        <v>49</v>
      </c>
      <c r="D82" s="97"/>
      <c r="E82" s="97"/>
      <c r="F82" s="98"/>
      <c r="G82" s="20"/>
      <c r="H82" s="40">
        <f>IF(G82="EAL Primary",565,IF(G82="EAL Secondary",1530,0))</f>
        <v>0</v>
      </c>
      <c r="I82" s="15"/>
      <c r="J82" s="137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2:19" ht="24.65" customHeight="1" x14ac:dyDescent="0.35">
      <c r="B83" s="16" t="s">
        <v>50</v>
      </c>
      <c r="C83" s="96" t="s">
        <v>51</v>
      </c>
      <c r="D83" s="97"/>
      <c r="E83" s="97"/>
      <c r="F83" s="98"/>
      <c r="G83" s="20"/>
      <c r="H83" s="40">
        <f>IF(G83="PPG Primary",1385,IF(G83="PPG Secondary",985,0))</f>
        <v>0</v>
      </c>
      <c r="I83" s="15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2:19" ht="24.65" customHeight="1" x14ac:dyDescent="0.35">
      <c r="B84" s="16" t="s">
        <v>52</v>
      </c>
      <c r="C84" s="96" t="s">
        <v>53</v>
      </c>
      <c r="D84" s="97"/>
      <c r="E84" s="97"/>
      <c r="F84" s="98"/>
      <c r="G84" s="36" t="s">
        <v>68</v>
      </c>
      <c r="H84" s="40">
        <f>IF(G84="Yes",320,IF(G84="No",0,0))</f>
        <v>320</v>
      </c>
      <c r="I84" s="15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2:19" ht="24.65" customHeight="1" x14ac:dyDescent="0.35">
      <c r="B85" s="16" t="s">
        <v>54</v>
      </c>
      <c r="C85" s="96" t="s">
        <v>53</v>
      </c>
      <c r="D85" s="97"/>
      <c r="E85" s="97"/>
      <c r="F85" s="98"/>
      <c r="G85" s="36"/>
      <c r="H85" s="40">
        <f>IF(G85="Yes",2410,IF(G85="No",0,0))</f>
        <v>0</v>
      </c>
      <c r="I85" s="15"/>
      <c r="J85" s="137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2:19" x14ac:dyDescent="0.35">
      <c r="G86" s="39"/>
      <c r="H86" s="41"/>
      <c r="J86" s="137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2:19" ht="18" x14ac:dyDescent="0.4">
      <c r="B87" s="49"/>
      <c r="C87" s="46"/>
      <c r="D87" s="46"/>
      <c r="E87" s="46"/>
      <c r="F87" s="46"/>
      <c r="G87" s="81"/>
      <c r="H87" s="41">
        <f>SUM(H79:H85)</f>
        <v>5986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</row>
  </sheetData>
  <sheetProtection algorithmName="SHA-512" hashValue="+WnJs40xf/2TRJwbBd5jyxoRqS1nOA0W1dDRYtsU9qH2kc+5bSJtlWH4epy/UefhgYxK2Wfp+aDcIRL2Hh1SlA==" saltValue="xPldBfK4b4qzdfgbRFnyxg==" spinCount="100000" sheet="1" formatCells="0" selectLockedCells="1"/>
  <mergeCells count="90">
    <mergeCell ref="B53:J53"/>
    <mergeCell ref="B54:J54"/>
    <mergeCell ref="B60:J60"/>
    <mergeCell ref="B61:J61"/>
    <mergeCell ref="C84:F84"/>
    <mergeCell ref="B62:J62"/>
    <mergeCell ref="B65:J65"/>
    <mergeCell ref="C79:F79"/>
    <mergeCell ref="C80:F80"/>
    <mergeCell ref="C85:F85"/>
    <mergeCell ref="J74:S87"/>
    <mergeCell ref="C17:E17"/>
    <mergeCell ref="H17:J17"/>
    <mergeCell ref="K17:R17"/>
    <mergeCell ref="O35:S35"/>
    <mergeCell ref="O19:S19"/>
    <mergeCell ref="O20:S20"/>
    <mergeCell ref="O26:S26"/>
    <mergeCell ref="O27:S27"/>
    <mergeCell ref="O28:S28"/>
    <mergeCell ref="O29:S29"/>
    <mergeCell ref="O30:S30"/>
    <mergeCell ref="O31:S31"/>
    <mergeCell ref="O32:S32"/>
    <mergeCell ref="O33:S33"/>
    <mergeCell ref="A1:O1"/>
    <mergeCell ref="C4:G4"/>
    <mergeCell ref="H4:I4"/>
    <mergeCell ref="J4:M4"/>
    <mergeCell ref="C6:G6"/>
    <mergeCell ref="H6:I6"/>
    <mergeCell ref="J6:N6"/>
    <mergeCell ref="B8:D8"/>
    <mergeCell ref="J8:N8"/>
    <mergeCell ref="B16:E16"/>
    <mergeCell ref="H16:J16"/>
    <mergeCell ref="K16:R16"/>
    <mergeCell ref="P8:Q8"/>
    <mergeCell ref="O47:S47"/>
    <mergeCell ref="O48:S48"/>
    <mergeCell ref="O49:S49"/>
    <mergeCell ref="E50:I50"/>
    <mergeCell ref="O50:S50"/>
    <mergeCell ref="C66:J66"/>
    <mergeCell ref="B67:J67"/>
    <mergeCell ref="J73:S73"/>
    <mergeCell ref="O21:S21"/>
    <mergeCell ref="O22:S22"/>
    <mergeCell ref="O23:S23"/>
    <mergeCell ref="O24:S24"/>
    <mergeCell ref="O25:S25"/>
    <mergeCell ref="B63:J63"/>
    <mergeCell ref="B64:J64"/>
    <mergeCell ref="O34:S34"/>
    <mergeCell ref="B52:J52"/>
    <mergeCell ref="O52:S52"/>
    <mergeCell ref="O36:S36"/>
    <mergeCell ref="O37:S37"/>
    <mergeCell ref="O43:S43"/>
    <mergeCell ref="C81:F81"/>
    <mergeCell ref="C82:F82"/>
    <mergeCell ref="C83:F83"/>
    <mergeCell ref="C74:F74"/>
    <mergeCell ref="C75:F75"/>
    <mergeCell ref="O63:S63"/>
    <mergeCell ref="O64:S64"/>
    <mergeCell ref="O65:S65"/>
    <mergeCell ref="O38:S38"/>
    <mergeCell ref="O39:S39"/>
    <mergeCell ref="O40:S40"/>
    <mergeCell ref="O41:S41"/>
    <mergeCell ref="O42:S42"/>
    <mergeCell ref="O53:S53"/>
    <mergeCell ref="O54:S54"/>
    <mergeCell ref="O60:S60"/>
    <mergeCell ref="O61:S61"/>
    <mergeCell ref="O62:S62"/>
    <mergeCell ref="O44:S44"/>
    <mergeCell ref="O45:S45"/>
    <mergeCell ref="O46:S46"/>
    <mergeCell ref="B58:J58"/>
    <mergeCell ref="O58:S58"/>
    <mergeCell ref="B59:J59"/>
    <mergeCell ref="O59:S59"/>
    <mergeCell ref="B55:J55"/>
    <mergeCell ref="O55:S55"/>
    <mergeCell ref="B56:J56"/>
    <mergeCell ref="O56:S56"/>
    <mergeCell ref="B57:J57"/>
    <mergeCell ref="O57:S5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19ABECC-9D3D-4221-B0E6-281021DAF0AE}">
          <x14:formula1>
            <xm:f>Data!$D$24:$D$26</xm:f>
          </x14:formula1>
          <xm:sqref>G83</xm:sqref>
        </x14:dataValidation>
        <x14:dataValidation type="list" allowBlank="1" showInputMessage="1" showErrorMessage="1" xr:uid="{D45BEEE9-51EC-4AD7-8FBF-E239D046E35B}">
          <x14:formula1>
            <xm:f>Data!$D$21:$D$23</xm:f>
          </x14:formula1>
          <xm:sqref>G82</xm:sqref>
        </x14:dataValidation>
        <x14:dataValidation type="list" allowBlank="1" showInputMessage="1" showErrorMessage="1" xr:uid="{697E2DC9-52D1-4EA9-9F91-1855D290B2AF}">
          <x14:formula1>
            <xm:f>Data!$D$18:$D$20</xm:f>
          </x14:formula1>
          <xm:sqref>G81</xm:sqref>
        </x14:dataValidation>
        <x14:dataValidation type="list" allowBlank="1" showInputMessage="1" showErrorMessage="1" xr:uid="{341950FE-52BF-4E60-BDBC-0867632155F6}">
          <x14:formula1>
            <xm:f>Data!$D$15:$D$17</xm:f>
          </x14:formula1>
          <xm:sqref>G80</xm:sqref>
        </x14:dataValidation>
        <x14:dataValidation type="list" allowBlank="1" showInputMessage="1" showErrorMessage="1" xr:uid="{1626ACC7-CF21-4DC8-97A8-A3534786B58E}">
          <x14:formula1>
            <xm:f>Data!$D$11:$D$13</xm:f>
          </x14:formula1>
          <xm:sqref>G79</xm:sqref>
        </x14:dataValidation>
        <x14:dataValidation type="list" allowBlank="1" showInputMessage="1" showErrorMessage="1" xr:uid="{161731CC-2F69-4708-BEB6-08C1AFFE2C63}">
          <x14:formula1>
            <xm:f>Data!$A$17:$A$23</xm:f>
          </x14:formula1>
          <xm:sqref>G74</xm:sqref>
        </x14:dataValidation>
        <x14:dataValidation type="list" allowBlank="1" showInputMessage="1" showErrorMessage="1" xr:uid="{2D082043-9092-4D40-837C-DA7DB5BDE244}">
          <x14:formula1>
            <xm:f>Data!$G$11:$G$12</xm:f>
          </x14:formula1>
          <xm:sqref>G84:G85</xm:sqref>
        </x14:dataValidation>
        <x14:dataValidation type="list" allowBlank="1" showInputMessage="1" showErrorMessage="1" xr:uid="{FEA87E28-D6CF-439C-B95D-5A84DCAD9BBD}">
          <x14:formula1>
            <xm:f>Data!$A$3:$A$7</xm:f>
          </x14:formula1>
          <xm:sqref>E20:E49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9524-72EA-40DA-817D-02BD3A57C972}">
  <sheetPr codeName="Sheet2">
    <tabColor rgb="FFFFFF00"/>
  </sheetPr>
  <dimension ref="A1:T80"/>
  <sheetViews>
    <sheetView tabSelected="1" zoomScale="60" zoomScaleNormal="60" workbookViewId="0">
      <selection activeCell="B20" sqref="B20"/>
    </sheetView>
  </sheetViews>
  <sheetFormatPr defaultRowHeight="14.5" x14ac:dyDescent="0.35"/>
  <cols>
    <col min="1" max="1" width="5.1796875" customWidth="1"/>
    <col min="2" max="2" width="37.26953125" customWidth="1"/>
    <col min="3" max="4" width="16.453125" customWidth="1"/>
    <col min="5" max="6" width="10.81640625" customWidth="1"/>
    <col min="7" max="7" width="12.7265625" customWidth="1"/>
    <col min="8" max="8" width="15.81640625" customWidth="1"/>
    <col min="9" max="11" width="10.81640625" customWidth="1"/>
    <col min="12" max="12" width="12" customWidth="1"/>
    <col min="13" max="13" width="19.26953125" customWidth="1"/>
    <col min="14" max="14" width="13.54296875" customWidth="1"/>
    <col min="15" max="15" width="10.453125" customWidth="1"/>
    <col min="16" max="17" width="21.81640625" customWidth="1"/>
    <col min="18" max="18" width="11.90625" customWidth="1"/>
    <col min="19" max="19" width="1.1796875" customWidth="1"/>
    <col min="20" max="20" width="8.26953125" customWidth="1"/>
    <col min="21" max="21" width="14.1796875" customWidth="1"/>
    <col min="22" max="22" width="15.54296875" customWidth="1"/>
    <col min="24" max="24" width="28.1796875" customWidth="1"/>
  </cols>
  <sheetData>
    <row r="1" spans="1:20" ht="25" x14ac:dyDescent="0.5">
      <c r="A1" s="127" t="s">
        <v>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5"/>
      <c r="Q1" s="45"/>
      <c r="R1" s="46"/>
      <c r="S1" s="46"/>
    </row>
    <row r="2" spans="1:20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ht="15" thickBo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19" thickTop="1" thickBot="1" x14ac:dyDescent="0.45">
      <c r="A4" s="46"/>
      <c r="B4" s="47" t="s">
        <v>0</v>
      </c>
      <c r="C4" s="128" t="s">
        <v>120</v>
      </c>
      <c r="D4" s="129"/>
      <c r="E4" s="129"/>
      <c r="F4" s="129"/>
      <c r="G4" s="130"/>
      <c r="H4" s="131" t="s">
        <v>1</v>
      </c>
      <c r="I4" s="132"/>
      <c r="J4" s="128" t="s">
        <v>101</v>
      </c>
      <c r="K4" s="129"/>
      <c r="L4" s="129"/>
      <c r="M4" s="133"/>
      <c r="N4" s="46"/>
      <c r="O4" s="46"/>
      <c r="P4" s="46"/>
      <c r="Q4" s="46"/>
      <c r="R4" s="46"/>
      <c r="S4" s="46"/>
    </row>
    <row r="5" spans="1:20" ht="16.5" thickTop="1" thickBot="1" x14ac:dyDescent="0.4">
      <c r="A5" s="46"/>
      <c r="B5" s="48"/>
      <c r="C5" s="49"/>
      <c r="D5" s="49"/>
      <c r="E5" s="49"/>
      <c r="F5" s="49"/>
      <c r="G5" s="46"/>
      <c r="H5" s="49"/>
      <c r="I5" s="49"/>
      <c r="J5" s="49"/>
      <c r="K5" s="49"/>
      <c r="L5" s="49"/>
      <c r="M5" s="49"/>
      <c r="N5" s="46"/>
      <c r="O5" s="46"/>
      <c r="P5" s="46"/>
      <c r="Q5" s="46"/>
      <c r="R5" s="46"/>
      <c r="S5" s="46"/>
    </row>
    <row r="6" spans="1:20" ht="19.5" thickTop="1" thickBot="1" x14ac:dyDescent="0.5">
      <c r="A6" s="46"/>
      <c r="B6" s="47" t="s">
        <v>2</v>
      </c>
      <c r="C6" s="128" t="s">
        <v>121</v>
      </c>
      <c r="D6" s="129"/>
      <c r="E6" s="129"/>
      <c r="F6" s="129"/>
      <c r="G6" s="130"/>
      <c r="H6" s="132" t="s">
        <v>3</v>
      </c>
      <c r="I6" s="134"/>
      <c r="J6" s="128" t="s">
        <v>122</v>
      </c>
      <c r="K6" s="129"/>
      <c r="L6" s="129"/>
      <c r="M6" s="129"/>
      <c r="N6" s="135"/>
      <c r="O6" s="46"/>
      <c r="P6" s="46"/>
      <c r="Q6" s="46"/>
      <c r="R6" s="46"/>
      <c r="S6" s="46"/>
    </row>
    <row r="7" spans="1:20" ht="15.5" thickTop="1" thickBot="1" x14ac:dyDescent="0.4">
      <c r="A7" s="4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1"/>
      <c r="Q7" s="51"/>
      <c r="R7" s="46"/>
      <c r="S7" s="46"/>
    </row>
    <row r="8" spans="1:20" ht="19" thickTop="1" x14ac:dyDescent="0.45">
      <c r="A8" s="46"/>
      <c r="B8" s="119" t="s">
        <v>4</v>
      </c>
      <c r="C8" s="120"/>
      <c r="D8" s="121"/>
      <c r="E8" s="50"/>
      <c r="F8" s="50"/>
      <c r="G8" s="50"/>
      <c r="H8" s="50"/>
      <c r="I8" s="50"/>
      <c r="J8" s="119" t="s">
        <v>5</v>
      </c>
      <c r="K8" s="122"/>
      <c r="L8" s="122"/>
      <c r="M8" s="122"/>
      <c r="N8" s="123"/>
      <c r="O8" s="46"/>
      <c r="P8" s="119" t="s">
        <v>140</v>
      </c>
      <c r="Q8" s="147"/>
      <c r="R8" s="46"/>
      <c r="S8" s="46"/>
    </row>
    <row r="9" spans="1:20" ht="18" x14ac:dyDescent="0.4">
      <c r="A9" s="46"/>
      <c r="B9" s="52"/>
      <c r="C9" s="53"/>
      <c r="D9" s="54"/>
      <c r="E9" s="51"/>
      <c r="F9" s="51"/>
      <c r="G9" s="51"/>
      <c r="H9" s="51"/>
      <c r="I9" s="51"/>
      <c r="J9" s="55"/>
      <c r="K9" s="53"/>
      <c r="L9" s="53"/>
      <c r="M9" s="53"/>
      <c r="N9" s="54"/>
      <c r="O9" s="51"/>
      <c r="P9" s="52" t="s">
        <v>141</v>
      </c>
      <c r="Q9" s="148">
        <f>+M13</f>
        <v>19056</v>
      </c>
      <c r="R9" s="51"/>
      <c r="S9" s="46"/>
    </row>
    <row r="10" spans="1:20" ht="18.5" thickBot="1" x14ac:dyDescent="0.45">
      <c r="A10" s="46"/>
      <c r="B10" s="52" t="s">
        <v>6</v>
      </c>
      <c r="C10" s="56">
        <f>N43</f>
        <v>19261.25</v>
      </c>
      <c r="D10" s="54"/>
      <c r="E10" s="51"/>
      <c r="F10" s="51"/>
      <c r="G10" s="51"/>
      <c r="H10" s="51"/>
      <c r="I10" s="51"/>
      <c r="J10" s="52" t="s">
        <v>7</v>
      </c>
      <c r="K10" s="57"/>
      <c r="L10" s="53"/>
      <c r="M10" s="56">
        <f>H67</f>
        <v>6024</v>
      </c>
      <c r="N10" s="54"/>
      <c r="O10" s="51"/>
      <c r="P10" s="52" t="s">
        <v>142</v>
      </c>
      <c r="Q10" s="148">
        <f>+C13</f>
        <v>22301.25</v>
      </c>
      <c r="R10" s="51"/>
      <c r="S10" s="46"/>
    </row>
    <row r="11" spans="1:20" ht="18.5" thickBot="1" x14ac:dyDescent="0.45">
      <c r="A11" s="46"/>
      <c r="B11" s="52" t="s">
        <v>8</v>
      </c>
      <c r="C11" s="56">
        <f>N60</f>
        <v>3040</v>
      </c>
      <c r="D11" s="54"/>
      <c r="E11" s="51"/>
      <c r="F11" s="51"/>
      <c r="G11" s="51"/>
      <c r="H11" s="51"/>
      <c r="I11" s="51"/>
      <c r="J11" s="52" t="s">
        <v>55</v>
      </c>
      <c r="K11" s="57"/>
      <c r="L11" s="57"/>
      <c r="M11" s="56">
        <f>H68</f>
        <v>6000</v>
      </c>
      <c r="N11" s="54"/>
      <c r="O11" s="51"/>
      <c r="P11" s="149" t="s">
        <v>143</v>
      </c>
      <c r="Q11" s="150">
        <f>+Q9-Q10</f>
        <v>-3245.25</v>
      </c>
      <c r="R11" s="51"/>
      <c r="S11" s="46"/>
    </row>
    <row r="12" spans="1:20" ht="18.5" thickTop="1" x14ac:dyDescent="0.4">
      <c r="A12" s="46"/>
      <c r="B12" s="52"/>
      <c r="C12" s="57"/>
      <c r="D12" s="54"/>
      <c r="E12" s="51"/>
      <c r="F12" s="51"/>
      <c r="G12" s="51"/>
      <c r="H12" s="51"/>
      <c r="I12" s="51"/>
      <c r="J12" s="52" t="s">
        <v>56</v>
      </c>
      <c r="K12" s="57"/>
      <c r="L12" s="53"/>
      <c r="M12" s="56">
        <f>H80</f>
        <v>7032</v>
      </c>
      <c r="N12" s="54"/>
      <c r="O12" s="51"/>
      <c r="P12" s="51"/>
      <c r="Q12" s="51"/>
      <c r="R12" s="51"/>
      <c r="S12" s="46"/>
    </row>
    <row r="13" spans="1:20" ht="22.5" x14ac:dyDescent="0.85">
      <c r="A13" s="46"/>
      <c r="B13" s="52" t="s">
        <v>10</v>
      </c>
      <c r="C13" s="58">
        <f>SUM(C10+C11)</f>
        <v>22301.25</v>
      </c>
      <c r="D13" s="54"/>
      <c r="E13" s="51"/>
      <c r="F13" s="51"/>
      <c r="G13" s="51"/>
      <c r="H13" s="51"/>
      <c r="I13" s="51"/>
      <c r="J13" s="52" t="s">
        <v>11</v>
      </c>
      <c r="K13" s="57"/>
      <c r="L13" s="57"/>
      <c r="M13" s="58">
        <f>M10+M11+M12</f>
        <v>19056</v>
      </c>
      <c r="N13" s="54"/>
      <c r="O13" s="51"/>
      <c r="P13" s="51"/>
      <c r="Q13" s="51"/>
      <c r="R13" s="51"/>
      <c r="S13" s="46"/>
    </row>
    <row r="14" spans="1:20" ht="13.5" customHeight="1" thickBot="1" x14ac:dyDescent="0.4">
      <c r="A14" s="46"/>
      <c r="B14" s="59"/>
      <c r="C14" s="60"/>
      <c r="D14" s="61"/>
      <c r="E14" s="51"/>
      <c r="F14" s="51"/>
      <c r="G14" s="51"/>
      <c r="H14" s="51"/>
      <c r="I14" s="51"/>
      <c r="J14" s="59"/>
      <c r="K14" s="60"/>
      <c r="L14" s="60"/>
      <c r="M14" s="60"/>
      <c r="N14" s="61"/>
      <c r="O14" s="51"/>
      <c r="P14" s="51"/>
      <c r="Q14" s="51"/>
      <c r="R14" s="51"/>
      <c r="S14" s="46"/>
    </row>
    <row r="15" spans="1:20" ht="15" thickTop="1" x14ac:dyDescent="0.35">
      <c r="A15" s="46"/>
      <c r="B15" s="62"/>
      <c r="C15" s="62"/>
      <c r="D15" s="62"/>
      <c r="E15" s="62"/>
      <c r="F15" s="62"/>
      <c r="G15" s="63"/>
      <c r="H15" s="64"/>
      <c r="I15" s="64"/>
      <c r="J15" s="64"/>
      <c r="K15" s="65"/>
      <c r="L15" s="65"/>
      <c r="M15" s="65"/>
      <c r="N15" s="65"/>
      <c r="O15" s="65"/>
      <c r="P15" s="65"/>
      <c r="Q15" s="65"/>
      <c r="R15" s="65"/>
      <c r="S15" s="46"/>
      <c r="T15" s="23"/>
    </row>
    <row r="16" spans="1:20" x14ac:dyDescent="0.35">
      <c r="B16" s="101"/>
      <c r="C16" s="101"/>
      <c r="D16" s="101"/>
      <c r="E16" s="101"/>
      <c r="H16" s="124"/>
      <c r="I16" s="124"/>
      <c r="J16" s="125"/>
      <c r="K16" s="126"/>
      <c r="L16" s="126"/>
      <c r="M16" s="126"/>
      <c r="N16" s="126"/>
      <c r="O16" s="126"/>
      <c r="P16" s="126"/>
      <c r="Q16" s="126"/>
      <c r="R16" s="126"/>
      <c r="S16" s="33"/>
      <c r="T16" s="11"/>
    </row>
    <row r="17" spans="2:20" ht="23.5" customHeight="1" x14ac:dyDescent="0.35">
      <c r="B17" s="66" t="s">
        <v>12</v>
      </c>
      <c r="C17" s="138"/>
      <c r="D17" s="138"/>
      <c r="E17" s="138"/>
      <c r="F17" s="13"/>
      <c r="H17" s="124"/>
      <c r="I17" s="124"/>
      <c r="J17" s="125"/>
      <c r="K17" s="126"/>
      <c r="L17" s="126"/>
      <c r="M17" s="126"/>
      <c r="N17" s="126"/>
      <c r="O17" s="126"/>
      <c r="P17" s="126"/>
      <c r="Q17" s="126"/>
      <c r="R17" s="126"/>
      <c r="S17" s="33"/>
      <c r="T17" s="12"/>
    </row>
    <row r="19" spans="2:20" ht="52" x14ac:dyDescent="0.35">
      <c r="B19" s="67" t="s">
        <v>13</v>
      </c>
      <c r="C19" s="68" t="s">
        <v>14</v>
      </c>
      <c r="D19" s="68" t="s">
        <v>15</v>
      </c>
      <c r="E19" s="68" t="s">
        <v>16</v>
      </c>
      <c r="F19" s="68" t="s">
        <v>17</v>
      </c>
      <c r="G19" s="68" t="s">
        <v>18</v>
      </c>
      <c r="H19" s="68" t="s">
        <v>19</v>
      </c>
      <c r="I19" s="68" t="s">
        <v>20</v>
      </c>
      <c r="J19" s="68" t="s">
        <v>21</v>
      </c>
      <c r="K19" s="68" t="s">
        <v>22</v>
      </c>
      <c r="L19" s="69" t="s">
        <v>23</v>
      </c>
      <c r="M19" s="69" t="s">
        <v>24</v>
      </c>
      <c r="N19" s="69" t="s">
        <v>25</v>
      </c>
      <c r="O19" s="111" t="s">
        <v>26</v>
      </c>
      <c r="P19" s="146"/>
      <c r="Q19" s="146"/>
      <c r="R19" s="112"/>
      <c r="S19" s="113"/>
    </row>
    <row r="20" spans="2:20" ht="38.15" customHeight="1" x14ac:dyDescent="0.35">
      <c r="B20" s="32" t="s">
        <v>123</v>
      </c>
      <c r="C20" s="24">
        <v>1</v>
      </c>
      <c r="D20" s="1" t="s">
        <v>124</v>
      </c>
      <c r="E20" s="1" t="s">
        <v>92</v>
      </c>
      <c r="F20" s="85">
        <f>IF(E20="TA Avg",Data!$B$4,IF(E20="TA Max",Data!$B$5,IF(E20="HLTA Avg",Data!$B$6,IF(E20="HLTA Max",Data!$B$7,IF(E20="Teacher",Data!$B$3,0)))))</f>
        <v>17.5</v>
      </c>
      <c r="G20" s="24">
        <v>40</v>
      </c>
      <c r="H20" s="24">
        <v>5</v>
      </c>
      <c r="I20" s="2">
        <v>38</v>
      </c>
      <c r="J20" s="25">
        <f>+H20*G20</f>
        <v>200</v>
      </c>
      <c r="K20" s="25">
        <f>IF(C20=0,"",J20/C20)</f>
        <v>200</v>
      </c>
      <c r="L20" s="26">
        <f>IFERROR(K20/60, "")</f>
        <v>3.3333333333333335</v>
      </c>
      <c r="M20" s="85">
        <f>IFERROR(L20*F20,"")</f>
        <v>58.333333333333336</v>
      </c>
      <c r="N20" s="85">
        <f>IFERROR(M20*I20,"")</f>
        <v>2216.666666666667</v>
      </c>
      <c r="O20" s="105" t="s">
        <v>131</v>
      </c>
      <c r="P20" s="141"/>
      <c r="Q20" s="141"/>
      <c r="R20" s="139"/>
      <c r="S20" s="140"/>
    </row>
    <row r="21" spans="2:20" ht="38.15" customHeight="1" x14ac:dyDescent="0.35">
      <c r="B21" s="32" t="s">
        <v>125</v>
      </c>
      <c r="C21" s="24">
        <v>1</v>
      </c>
      <c r="D21" s="1" t="s">
        <v>124</v>
      </c>
      <c r="E21" s="1" t="s">
        <v>95</v>
      </c>
      <c r="F21" s="85">
        <f>IF(E21="TA Avg",Data!$B$4,IF(E21="TA Max",Data!$B$5,IF(E21="HLTA Avg",Data!$B$6,IF(E21="HLTA Max",Data!$B$7,IF(E21="Teacher",Data!$B$3,0)))))</f>
        <v>24</v>
      </c>
      <c r="G21" s="24">
        <v>60</v>
      </c>
      <c r="H21" s="24">
        <v>5</v>
      </c>
      <c r="I21" s="2">
        <v>38</v>
      </c>
      <c r="J21" s="25">
        <f t="shared" ref="J21:J39" si="0">+H21*G21</f>
        <v>300</v>
      </c>
      <c r="K21" s="25">
        <f t="shared" ref="K21:K38" si="1">IF(C21=0,"",J21/C21)</f>
        <v>300</v>
      </c>
      <c r="L21" s="26">
        <f t="shared" ref="L21:L39" si="2">IFERROR(K21/60, "")</f>
        <v>5</v>
      </c>
      <c r="M21" s="85">
        <f t="shared" ref="M21:M38" si="3">IFERROR(L21*F21,"")</f>
        <v>120</v>
      </c>
      <c r="N21" s="85">
        <f t="shared" ref="N21:N39" si="4">IFERROR(M21*I21,"")</f>
        <v>4560</v>
      </c>
      <c r="O21" s="105" t="s">
        <v>132</v>
      </c>
      <c r="P21" s="141"/>
      <c r="Q21" s="141"/>
      <c r="R21" s="106"/>
      <c r="S21" s="107"/>
    </row>
    <row r="22" spans="2:20" ht="38.15" customHeight="1" x14ac:dyDescent="0.35">
      <c r="B22" s="32" t="s">
        <v>126</v>
      </c>
      <c r="C22" s="24">
        <v>1</v>
      </c>
      <c r="D22" s="1" t="s">
        <v>124</v>
      </c>
      <c r="E22" s="1" t="s">
        <v>93</v>
      </c>
      <c r="F22" s="85">
        <f>IF(E22="TA Avg",Data!$B$4,IF(E22="TA Max",Data!$B$5,IF(E22="HLTA Avg",Data!$B$6,IF(E22="HLTA Max",Data!$B$7,IF(E22="Teacher",Data!$B$3,0)))))</f>
        <v>19</v>
      </c>
      <c r="G22" s="24">
        <v>30</v>
      </c>
      <c r="H22" s="24">
        <v>5</v>
      </c>
      <c r="I22" s="2">
        <v>38</v>
      </c>
      <c r="J22" s="25">
        <f t="shared" ref="J22" si="5">+H22*G22</f>
        <v>150</v>
      </c>
      <c r="K22" s="25">
        <f t="shared" ref="K22" si="6">IF(C22=0,"",J22/C22)</f>
        <v>150</v>
      </c>
      <c r="L22" s="26">
        <f t="shared" ref="L22" si="7">IFERROR(K22/60, "")</f>
        <v>2.5</v>
      </c>
      <c r="M22" s="85">
        <f t="shared" ref="M22" si="8">IFERROR(L22*F22,"")</f>
        <v>47.5</v>
      </c>
      <c r="N22" s="85">
        <f t="shared" ref="N22" si="9">IFERROR(M22*I22,"")</f>
        <v>1805</v>
      </c>
      <c r="O22" s="105" t="s">
        <v>133</v>
      </c>
      <c r="P22" s="141"/>
      <c r="Q22" s="141"/>
      <c r="R22" s="106"/>
      <c r="S22" s="107"/>
    </row>
    <row r="23" spans="2:20" ht="38.15" customHeight="1" x14ac:dyDescent="0.35">
      <c r="B23" s="32" t="s">
        <v>127</v>
      </c>
      <c r="C23" s="24">
        <v>1</v>
      </c>
      <c r="D23" s="1" t="s">
        <v>124</v>
      </c>
      <c r="E23" s="1" t="s">
        <v>63</v>
      </c>
      <c r="F23" s="85">
        <f>IF(E23="TA Avg",Data!$B$4,IF(E23="TA Max",Data!$B$5,IF(E23="HLTA Avg",Data!$B$6,IF(E23="HLTA Max",Data!$B$7,IF(E23="Teacher",Data!$B$3,0)))))</f>
        <v>34</v>
      </c>
      <c r="G23" s="24">
        <v>60</v>
      </c>
      <c r="H23" s="24">
        <v>5</v>
      </c>
      <c r="I23" s="2">
        <v>38</v>
      </c>
      <c r="J23" s="25">
        <f t="shared" ref="J23" si="10">+H23*G23</f>
        <v>300</v>
      </c>
      <c r="K23" s="25">
        <f t="shared" ref="K23" si="11">IF(C23=0,"",J23/C23)</f>
        <v>300</v>
      </c>
      <c r="L23" s="26">
        <f t="shared" ref="L23" si="12">IFERROR(K23/60, "")</f>
        <v>5</v>
      </c>
      <c r="M23" s="85">
        <f t="shared" ref="M23" si="13">IFERROR(L23*F23,"")</f>
        <v>170</v>
      </c>
      <c r="N23" s="85">
        <f t="shared" ref="N23" si="14">IFERROR(M23*I23,"")</f>
        <v>6460</v>
      </c>
      <c r="O23" s="105" t="s">
        <v>134</v>
      </c>
      <c r="P23" s="141"/>
      <c r="Q23" s="141"/>
      <c r="R23" s="106"/>
      <c r="S23" s="107"/>
    </row>
    <row r="24" spans="2:20" ht="38.15" customHeight="1" x14ac:dyDescent="0.35">
      <c r="B24" s="32" t="s">
        <v>128</v>
      </c>
      <c r="C24" s="24">
        <v>1</v>
      </c>
      <c r="D24" s="1" t="s">
        <v>124</v>
      </c>
      <c r="E24" s="1" t="s">
        <v>93</v>
      </c>
      <c r="F24" s="85">
        <f>IF(E24="TA Avg",Data!$B$4,IF(E24="TA Max",Data!$B$5,IF(E24="HLTA Avg",Data!$B$6,IF(E24="HLTA Max",Data!$B$7,IF(E24="Teacher",Data!$B$3,0)))))</f>
        <v>19</v>
      </c>
      <c r="G24" s="24">
        <v>30</v>
      </c>
      <c r="H24" s="24">
        <v>5</v>
      </c>
      <c r="I24" s="2">
        <v>38</v>
      </c>
      <c r="J24" s="25">
        <f t="shared" ref="J24:J33" si="15">+H24*G24</f>
        <v>150</v>
      </c>
      <c r="K24" s="25">
        <f t="shared" ref="K24:K33" si="16">IF(C24=0,"",J24/C24)</f>
        <v>150</v>
      </c>
      <c r="L24" s="26">
        <f t="shared" ref="L24:L33" si="17">IFERROR(K24/60, "")</f>
        <v>2.5</v>
      </c>
      <c r="M24" s="85">
        <f t="shared" ref="M24:M33" si="18">IFERROR(L24*F24,"")</f>
        <v>47.5</v>
      </c>
      <c r="N24" s="85">
        <f t="shared" ref="N24:N33" si="19">IFERROR(M24*I24,"")</f>
        <v>1805</v>
      </c>
      <c r="O24" s="105" t="s">
        <v>135</v>
      </c>
      <c r="P24" s="141"/>
      <c r="Q24" s="141"/>
      <c r="R24" s="106"/>
      <c r="S24" s="107"/>
    </row>
    <row r="25" spans="2:20" ht="38.15" customHeight="1" x14ac:dyDescent="0.35">
      <c r="B25" s="32" t="s">
        <v>129</v>
      </c>
      <c r="C25" s="24">
        <v>1</v>
      </c>
      <c r="D25" s="1" t="s">
        <v>124</v>
      </c>
      <c r="E25" s="1" t="s">
        <v>94</v>
      </c>
      <c r="F25" s="85">
        <f>IF(E25="TA Avg",Data!$B$4,IF(E25="TA Max",Data!$B$5,IF(E25="HLTA Avg",Data!$B$6,IF(E25="HLTA Max",Data!$B$7,IF(E25="Teacher",Data!$B$3,0)))))</f>
        <v>22.5</v>
      </c>
      <c r="G25" s="24">
        <v>30</v>
      </c>
      <c r="H25" s="24">
        <v>5</v>
      </c>
      <c r="I25" s="2">
        <v>38</v>
      </c>
      <c r="J25" s="25">
        <f t="shared" ref="J25:J29" si="20">+H25*G25</f>
        <v>150</v>
      </c>
      <c r="K25" s="25">
        <f t="shared" ref="K25:K29" si="21">IF(C25=0,"",J25/C25)</f>
        <v>150</v>
      </c>
      <c r="L25" s="26">
        <f t="shared" ref="L25:L29" si="22">IFERROR(K25/60, "")</f>
        <v>2.5</v>
      </c>
      <c r="M25" s="85">
        <f t="shared" ref="M25:M29" si="23">IFERROR(L25*F25,"")</f>
        <v>56.25</v>
      </c>
      <c r="N25" s="85">
        <f t="shared" ref="N25:N29" si="24">IFERROR(M25*I25,"")</f>
        <v>2137.5</v>
      </c>
      <c r="O25" s="105" t="s">
        <v>136</v>
      </c>
      <c r="P25" s="141"/>
      <c r="Q25" s="141"/>
      <c r="R25" s="106"/>
      <c r="S25" s="107"/>
    </row>
    <row r="26" spans="2:20" ht="38.15" customHeight="1" x14ac:dyDescent="0.35">
      <c r="B26" s="32" t="s">
        <v>130</v>
      </c>
      <c r="C26" s="24">
        <v>1</v>
      </c>
      <c r="D26" s="1" t="s">
        <v>124</v>
      </c>
      <c r="E26" s="1" t="s">
        <v>92</v>
      </c>
      <c r="F26" s="85">
        <f>IF(E26="TA Avg",Data!$B$4,IF(E26="TA Max",Data!$B$5,IF(E26="HLTA Avg",Data!$B$6,IF(E26="HLTA Max",Data!$B$7,IF(E26="Teacher",Data!$B$3,0)))))</f>
        <v>17.5</v>
      </c>
      <c r="G26" s="27">
        <v>5</v>
      </c>
      <c r="H26" s="27">
        <v>5</v>
      </c>
      <c r="I26" s="2">
        <v>38</v>
      </c>
      <c r="J26" s="25">
        <f t="shared" si="20"/>
        <v>25</v>
      </c>
      <c r="K26" s="25">
        <f t="shared" si="21"/>
        <v>25</v>
      </c>
      <c r="L26" s="26">
        <f t="shared" si="22"/>
        <v>0.41666666666666669</v>
      </c>
      <c r="M26" s="85">
        <f t="shared" si="23"/>
        <v>7.291666666666667</v>
      </c>
      <c r="N26" s="85">
        <f t="shared" si="24"/>
        <v>277.08333333333337</v>
      </c>
      <c r="O26" s="105" t="s">
        <v>137</v>
      </c>
      <c r="P26" s="141"/>
      <c r="Q26" s="141"/>
      <c r="R26" s="141"/>
      <c r="S26" s="142"/>
    </row>
    <row r="27" spans="2:20" ht="38.15" customHeight="1" x14ac:dyDescent="0.35">
      <c r="B27" s="32"/>
      <c r="C27" s="24"/>
      <c r="D27" s="1"/>
      <c r="E27" s="1"/>
      <c r="F27" s="85">
        <f>IF(E27="TA",Data!$B$4,IF(E27="HLTA",Data!$B$5,IF(E27="Teacher",Data!$B$3,0)))</f>
        <v>0</v>
      </c>
      <c r="G27" s="24"/>
      <c r="H27" s="24"/>
      <c r="I27" s="2"/>
      <c r="J27" s="25">
        <f t="shared" si="20"/>
        <v>0</v>
      </c>
      <c r="K27" s="25" t="str">
        <f t="shared" si="21"/>
        <v/>
      </c>
      <c r="L27" s="26" t="str">
        <f t="shared" si="22"/>
        <v/>
      </c>
      <c r="M27" s="85" t="str">
        <f t="shared" si="23"/>
        <v/>
      </c>
      <c r="N27" s="85" t="str">
        <f t="shared" si="24"/>
        <v/>
      </c>
      <c r="O27" s="105"/>
      <c r="P27" s="141"/>
      <c r="Q27" s="141"/>
      <c r="R27" s="106"/>
      <c r="S27" s="107"/>
    </row>
    <row r="28" spans="2:20" ht="38.15" customHeight="1" x14ac:dyDescent="0.35">
      <c r="B28" s="32"/>
      <c r="C28" s="24"/>
      <c r="D28" s="1"/>
      <c r="E28" s="1"/>
      <c r="F28" s="85">
        <f>IF(E28="TA",Data!$B$4,IF(E28="HLTA",Data!$B$5,IF(E28="Teacher",Data!$B$3,0)))</f>
        <v>0</v>
      </c>
      <c r="G28" s="24"/>
      <c r="H28" s="24"/>
      <c r="I28" s="2"/>
      <c r="J28" s="25">
        <f t="shared" si="20"/>
        <v>0</v>
      </c>
      <c r="K28" s="25" t="str">
        <f t="shared" si="21"/>
        <v/>
      </c>
      <c r="L28" s="26" t="str">
        <f t="shared" si="22"/>
        <v/>
      </c>
      <c r="M28" s="85" t="str">
        <f t="shared" si="23"/>
        <v/>
      </c>
      <c r="N28" s="85" t="str">
        <f t="shared" si="24"/>
        <v/>
      </c>
      <c r="O28" s="105"/>
      <c r="P28" s="141"/>
      <c r="Q28" s="141"/>
      <c r="R28" s="106"/>
      <c r="S28" s="107"/>
    </row>
    <row r="29" spans="2:20" ht="38.15" customHeight="1" x14ac:dyDescent="0.35">
      <c r="B29" s="32"/>
      <c r="C29" s="24"/>
      <c r="D29" s="1"/>
      <c r="E29" s="1"/>
      <c r="F29" s="85">
        <f>IF(E29="TA",Data!$B$4,IF(E29="HLTA",Data!$B$5,IF(E29="Teacher",Data!$B$3,0)))</f>
        <v>0</v>
      </c>
      <c r="G29" s="24"/>
      <c r="H29" s="24"/>
      <c r="I29" s="2"/>
      <c r="J29" s="25">
        <f t="shared" si="20"/>
        <v>0</v>
      </c>
      <c r="K29" s="25" t="str">
        <f t="shared" si="21"/>
        <v/>
      </c>
      <c r="L29" s="26" t="str">
        <f t="shared" si="22"/>
        <v/>
      </c>
      <c r="M29" s="85" t="str">
        <f t="shared" si="23"/>
        <v/>
      </c>
      <c r="N29" s="85" t="str">
        <f t="shared" si="24"/>
        <v/>
      </c>
      <c r="O29" s="105"/>
      <c r="P29" s="141"/>
      <c r="Q29" s="141"/>
      <c r="R29" s="106"/>
      <c r="S29" s="107"/>
    </row>
    <row r="30" spans="2:20" ht="38.15" customHeight="1" x14ac:dyDescent="0.35">
      <c r="B30" s="32"/>
      <c r="C30" s="24"/>
      <c r="D30" s="1"/>
      <c r="E30" s="1"/>
      <c r="F30" s="85">
        <f>IF(E30="TA",Data!$B$4,IF(E30="HLTA",Data!$B$5,IF(E30="Teacher",Data!$B$3,0)))</f>
        <v>0</v>
      </c>
      <c r="G30" s="24"/>
      <c r="H30" s="24"/>
      <c r="I30" s="2"/>
      <c r="J30" s="25">
        <f t="shared" si="15"/>
        <v>0</v>
      </c>
      <c r="K30" s="25" t="str">
        <f t="shared" si="16"/>
        <v/>
      </c>
      <c r="L30" s="26" t="str">
        <f t="shared" si="17"/>
        <v/>
      </c>
      <c r="M30" s="85" t="str">
        <f t="shared" si="18"/>
        <v/>
      </c>
      <c r="N30" s="85" t="str">
        <f t="shared" si="19"/>
        <v/>
      </c>
      <c r="O30" s="105"/>
      <c r="P30" s="141"/>
      <c r="Q30" s="141"/>
      <c r="R30" s="106"/>
      <c r="S30" s="107"/>
    </row>
    <row r="31" spans="2:20" ht="38.15" customHeight="1" x14ac:dyDescent="0.35">
      <c r="B31" s="32"/>
      <c r="C31" s="24"/>
      <c r="D31" s="1"/>
      <c r="E31" s="1"/>
      <c r="F31" s="85">
        <f>IF(E31="TA",Data!$B$4,IF(E31="HLTA",Data!$B$5,IF(E31="Teacher",Data!$B$3,0)))</f>
        <v>0</v>
      </c>
      <c r="G31" s="24"/>
      <c r="H31" s="24"/>
      <c r="I31" s="2"/>
      <c r="J31" s="25">
        <f t="shared" si="15"/>
        <v>0</v>
      </c>
      <c r="K31" s="25" t="str">
        <f t="shared" si="16"/>
        <v/>
      </c>
      <c r="L31" s="26" t="str">
        <f t="shared" si="17"/>
        <v/>
      </c>
      <c r="M31" s="85" t="str">
        <f t="shared" si="18"/>
        <v/>
      </c>
      <c r="N31" s="85" t="str">
        <f t="shared" si="19"/>
        <v/>
      </c>
      <c r="O31" s="105"/>
      <c r="P31" s="141"/>
      <c r="Q31" s="141"/>
      <c r="R31" s="106"/>
      <c r="S31" s="107"/>
    </row>
    <row r="32" spans="2:20" ht="38.15" customHeight="1" x14ac:dyDescent="0.35">
      <c r="B32" s="32"/>
      <c r="C32" s="24"/>
      <c r="D32" s="1"/>
      <c r="E32" s="1"/>
      <c r="F32" s="85">
        <f>IF(E32="TA",Data!$B$4,IF(E32="HLTA",Data!$B$5,IF(E32="Teacher",Data!$B$3,0)))</f>
        <v>0</v>
      </c>
      <c r="G32" s="24"/>
      <c r="H32" s="24"/>
      <c r="I32" s="2"/>
      <c r="J32" s="25">
        <f t="shared" si="15"/>
        <v>0</v>
      </c>
      <c r="K32" s="25" t="str">
        <f t="shared" si="16"/>
        <v/>
      </c>
      <c r="L32" s="26" t="str">
        <f t="shared" si="17"/>
        <v/>
      </c>
      <c r="M32" s="85" t="str">
        <f t="shared" si="18"/>
        <v/>
      </c>
      <c r="N32" s="85" t="str">
        <f t="shared" si="19"/>
        <v/>
      </c>
      <c r="O32" s="105"/>
      <c r="P32" s="141"/>
      <c r="Q32" s="141"/>
      <c r="R32" s="106"/>
      <c r="S32" s="107"/>
    </row>
    <row r="33" spans="2:19" ht="38.15" customHeight="1" x14ac:dyDescent="0.35">
      <c r="B33" s="32"/>
      <c r="C33" s="24"/>
      <c r="D33" s="1"/>
      <c r="E33" s="1"/>
      <c r="F33" s="85">
        <f>IF(E33="TA",Data!$B$4,IF(E33="HLTA",Data!$B$5,IF(E33="Teacher",Data!$B$3,0)))</f>
        <v>0</v>
      </c>
      <c r="G33" s="24"/>
      <c r="H33" s="24"/>
      <c r="I33" s="2"/>
      <c r="J33" s="25">
        <f t="shared" si="15"/>
        <v>0</v>
      </c>
      <c r="K33" s="25" t="str">
        <f t="shared" si="16"/>
        <v/>
      </c>
      <c r="L33" s="26" t="str">
        <f t="shared" si="17"/>
        <v/>
      </c>
      <c r="M33" s="85" t="str">
        <f t="shared" si="18"/>
        <v/>
      </c>
      <c r="N33" s="85" t="str">
        <f t="shared" si="19"/>
        <v/>
      </c>
      <c r="O33" s="105"/>
      <c r="P33" s="141"/>
      <c r="Q33" s="141"/>
      <c r="R33" s="106"/>
      <c r="S33" s="107"/>
    </row>
    <row r="34" spans="2:19" ht="38.15" customHeight="1" x14ac:dyDescent="0.35">
      <c r="B34" s="32"/>
      <c r="C34" s="24"/>
      <c r="D34" s="1"/>
      <c r="E34" s="1"/>
      <c r="F34" s="85">
        <f>IF(E34="TA",Data!$B$4,IF(E34="HLTA",Data!$B$5,IF(E34="Teacher",Data!$B$3,0)))</f>
        <v>0</v>
      </c>
      <c r="G34" s="24"/>
      <c r="H34" s="24"/>
      <c r="I34" s="2"/>
      <c r="J34" s="25">
        <f t="shared" ref="J34" si="25">+H34*G34</f>
        <v>0</v>
      </c>
      <c r="K34" s="25" t="str">
        <f t="shared" ref="K34" si="26">IF(C34=0,"",J34/C34)</f>
        <v/>
      </c>
      <c r="L34" s="26" t="str">
        <f t="shared" ref="L34" si="27">IFERROR(K34/60, "")</f>
        <v/>
      </c>
      <c r="M34" s="85" t="str">
        <f t="shared" ref="M34" si="28">IFERROR(L34*F34,"")</f>
        <v/>
      </c>
      <c r="N34" s="85" t="str">
        <f t="shared" ref="N34" si="29">IFERROR(M34*I34,"")</f>
        <v/>
      </c>
      <c r="O34" s="105"/>
      <c r="P34" s="141"/>
      <c r="Q34" s="141"/>
      <c r="R34" s="106"/>
      <c r="S34" s="107"/>
    </row>
    <row r="35" spans="2:19" ht="38.15" customHeight="1" x14ac:dyDescent="0.35">
      <c r="B35" s="32"/>
      <c r="C35" s="24"/>
      <c r="D35" s="1"/>
      <c r="E35" s="1"/>
      <c r="F35" s="85">
        <f>IF(E35="TA",Data!$B$4,IF(E35="HLTA",Data!$B$5,IF(E35="Teacher",Data!$B$3,0)))</f>
        <v>0</v>
      </c>
      <c r="G35" s="24"/>
      <c r="H35" s="24"/>
      <c r="I35" s="2"/>
      <c r="J35" s="25">
        <f t="shared" si="0"/>
        <v>0</v>
      </c>
      <c r="K35" s="25" t="str">
        <f t="shared" si="1"/>
        <v/>
      </c>
      <c r="L35" s="26" t="str">
        <f t="shared" si="2"/>
        <v/>
      </c>
      <c r="M35" s="85" t="str">
        <f t="shared" si="3"/>
        <v/>
      </c>
      <c r="N35" s="85" t="str">
        <f t="shared" si="4"/>
        <v/>
      </c>
      <c r="O35" s="105"/>
      <c r="P35" s="141"/>
      <c r="Q35" s="141"/>
      <c r="R35" s="106"/>
      <c r="S35" s="107"/>
    </row>
    <row r="36" spans="2:19" ht="38.15" customHeight="1" x14ac:dyDescent="0.35">
      <c r="B36" s="32"/>
      <c r="C36" s="24"/>
      <c r="D36" s="1"/>
      <c r="E36" s="1"/>
      <c r="F36" s="85">
        <f>IF(E36="TA",Data!$B$4,IF(E36="HLTA",Data!$B$5,IF(E36="Teacher",Data!$B$3,0)))</f>
        <v>0</v>
      </c>
      <c r="G36" s="24"/>
      <c r="H36" s="24"/>
      <c r="I36" s="2"/>
      <c r="J36" s="25">
        <f t="shared" si="0"/>
        <v>0</v>
      </c>
      <c r="K36" s="25" t="str">
        <f t="shared" si="1"/>
        <v/>
      </c>
      <c r="L36" s="26" t="str">
        <f t="shared" si="2"/>
        <v/>
      </c>
      <c r="M36" s="85" t="str">
        <f t="shared" si="3"/>
        <v/>
      </c>
      <c r="N36" s="85" t="str">
        <f t="shared" si="4"/>
        <v/>
      </c>
      <c r="O36" s="105"/>
      <c r="P36" s="141"/>
      <c r="Q36" s="141"/>
      <c r="R36" s="106"/>
      <c r="S36" s="107"/>
    </row>
    <row r="37" spans="2:19" ht="38.15" customHeight="1" x14ac:dyDescent="0.35">
      <c r="B37" s="32"/>
      <c r="C37" s="24"/>
      <c r="D37" s="1"/>
      <c r="E37" s="1"/>
      <c r="F37" s="85">
        <f>IF(E37="TA",Data!$B$4,IF(E37="HLTA",Data!$B$5,IF(E37="Teacher",Data!$B$3,0)))</f>
        <v>0</v>
      </c>
      <c r="G37" s="24"/>
      <c r="H37" s="24"/>
      <c r="I37" s="2"/>
      <c r="J37" s="25">
        <f t="shared" si="0"/>
        <v>0</v>
      </c>
      <c r="K37" s="25" t="str">
        <f t="shared" si="1"/>
        <v/>
      </c>
      <c r="L37" s="26" t="str">
        <f t="shared" si="2"/>
        <v/>
      </c>
      <c r="M37" s="85" t="str">
        <f t="shared" si="3"/>
        <v/>
      </c>
      <c r="N37" s="85" t="str">
        <f t="shared" si="4"/>
        <v/>
      </c>
      <c r="O37" s="105"/>
      <c r="P37" s="141"/>
      <c r="Q37" s="141"/>
      <c r="R37" s="106"/>
      <c r="S37" s="107"/>
    </row>
    <row r="38" spans="2:19" ht="38.15" customHeight="1" x14ac:dyDescent="0.35">
      <c r="B38" s="32"/>
      <c r="C38" s="24"/>
      <c r="D38" s="1"/>
      <c r="E38" s="1"/>
      <c r="F38" s="85">
        <f>IF(E38="TA",Data!$B$4,IF(E38="HLTA",Data!$B$5,IF(E38="Teacher",Data!$B$3,0)))</f>
        <v>0</v>
      </c>
      <c r="G38" s="24"/>
      <c r="H38" s="24"/>
      <c r="I38" s="2"/>
      <c r="J38" s="25">
        <f t="shared" si="0"/>
        <v>0</v>
      </c>
      <c r="K38" s="25" t="str">
        <f t="shared" si="1"/>
        <v/>
      </c>
      <c r="L38" s="26" t="str">
        <f t="shared" si="2"/>
        <v/>
      </c>
      <c r="M38" s="85" t="str">
        <f t="shared" si="3"/>
        <v/>
      </c>
      <c r="N38" s="85" t="str">
        <f t="shared" si="4"/>
        <v/>
      </c>
      <c r="O38" s="105"/>
      <c r="P38" s="141"/>
      <c r="Q38" s="141"/>
      <c r="R38" s="106"/>
      <c r="S38" s="107"/>
    </row>
    <row r="39" spans="2:19" ht="38.15" customHeight="1" x14ac:dyDescent="0.35">
      <c r="B39" s="32"/>
      <c r="C39" s="24"/>
      <c r="D39" s="1"/>
      <c r="E39" s="1"/>
      <c r="F39" s="85">
        <f>IF(E39="TA",Data!$B$4,IF(E39="HLTA",Data!$B$5,IF(E39="Teacher",Data!$B$3,0)))</f>
        <v>0</v>
      </c>
      <c r="G39" s="27"/>
      <c r="H39" s="27"/>
      <c r="I39" s="2"/>
      <c r="J39" s="25">
        <f t="shared" si="0"/>
        <v>0</v>
      </c>
      <c r="K39" s="25" t="str">
        <f>IF(C39=0,"",J39/C39)</f>
        <v/>
      </c>
      <c r="L39" s="26" t="str">
        <f t="shared" si="2"/>
        <v/>
      </c>
      <c r="M39" s="85" t="str">
        <f>IFERROR(L39*F39,"")</f>
        <v/>
      </c>
      <c r="N39" s="85" t="str">
        <f t="shared" si="4"/>
        <v/>
      </c>
      <c r="O39" s="105"/>
      <c r="P39" s="141"/>
      <c r="Q39" s="141"/>
      <c r="R39" s="141"/>
      <c r="S39" s="142"/>
    </row>
    <row r="40" spans="2:19" ht="38.15" customHeight="1" x14ac:dyDescent="0.35">
      <c r="B40" s="32"/>
      <c r="C40" s="24"/>
      <c r="D40" s="1"/>
      <c r="E40" s="1"/>
      <c r="F40" s="85">
        <f>IF(E40="TA",Data!$B$4,IF(E40="HLTA",Data!$B$5,IF(E40="Teacher",Data!$B$3,0)))</f>
        <v>0</v>
      </c>
      <c r="G40" s="27"/>
      <c r="H40" s="27"/>
      <c r="I40" s="2"/>
      <c r="J40" s="25">
        <f t="shared" ref="J40:J42" si="30">+H40*G40</f>
        <v>0</v>
      </c>
      <c r="K40" s="25" t="str">
        <f t="shared" ref="K40:K42" si="31">IF(C40=0,"",J40/C40)</f>
        <v/>
      </c>
      <c r="L40" s="26" t="str">
        <f t="shared" ref="L40:L42" si="32">IFERROR(K40/60, "")</f>
        <v/>
      </c>
      <c r="M40" s="85" t="str">
        <f t="shared" ref="M40:M42" si="33">IFERROR(L40*F40,"")</f>
        <v/>
      </c>
      <c r="N40" s="85" t="str">
        <f t="shared" ref="N40:N42" si="34">IFERROR(M40*I40,"")</f>
        <v/>
      </c>
      <c r="O40" s="93"/>
      <c r="P40" s="94"/>
      <c r="Q40" s="94"/>
      <c r="R40" s="141"/>
      <c r="S40" s="142"/>
    </row>
    <row r="41" spans="2:19" ht="46" customHeight="1" x14ac:dyDescent="0.35">
      <c r="B41" s="32"/>
      <c r="C41" s="24"/>
      <c r="D41" s="1"/>
      <c r="E41" s="1"/>
      <c r="F41" s="85">
        <f>IF(E41="TA",Data!$B$4,IF(E41="HLTA",Data!$B$5,IF(E41="Teacher",Data!$B$3,0)))</f>
        <v>0</v>
      </c>
      <c r="G41" s="28"/>
      <c r="H41" s="28"/>
      <c r="I41" s="2"/>
      <c r="J41" s="25">
        <f t="shared" si="30"/>
        <v>0</v>
      </c>
      <c r="K41" s="25" t="str">
        <f t="shared" si="31"/>
        <v/>
      </c>
      <c r="L41" s="26" t="str">
        <f t="shared" si="32"/>
        <v/>
      </c>
      <c r="M41" s="85" t="str">
        <f t="shared" si="33"/>
        <v/>
      </c>
      <c r="N41" s="85" t="str">
        <f t="shared" si="34"/>
        <v/>
      </c>
      <c r="O41" s="93"/>
      <c r="P41" s="94"/>
      <c r="Q41" s="94"/>
      <c r="R41" s="94"/>
      <c r="S41" s="95"/>
    </row>
    <row r="42" spans="2:19" ht="38.15" customHeight="1" thickBot="1" x14ac:dyDescent="0.4">
      <c r="B42" s="32"/>
      <c r="C42" s="27"/>
      <c r="D42" s="1"/>
      <c r="E42" s="1"/>
      <c r="F42" s="85">
        <f>IF(E42="TA",Data!$B$4,IF(E42="HLTA",Data!$B$5,IF(E42="Teacher",Data!$B$3,0)))</f>
        <v>0</v>
      </c>
      <c r="G42" s="27"/>
      <c r="H42" s="27"/>
      <c r="I42" s="2"/>
      <c r="J42" s="25">
        <f t="shared" si="30"/>
        <v>0</v>
      </c>
      <c r="K42" s="25" t="str">
        <f t="shared" si="31"/>
        <v/>
      </c>
      <c r="L42" s="26" t="str">
        <f t="shared" si="32"/>
        <v/>
      </c>
      <c r="M42" s="85" t="str">
        <f t="shared" si="33"/>
        <v/>
      </c>
      <c r="N42" s="85" t="str">
        <f t="shared" si="34"/>
        <v/>
      </c>
      <c r="O42" s="93"/>
      <c r="P42" s="94"/>
      <c r="Q42" s="94"/>
      <c r="R42" s="94"/>
      <c r="S42" s="95"/>
    </row>
    <row r="43" spans="2:19" ht="16" thickBot="1" x14ac:dyDescent="0.4">
      <c r="B43" s="70"/>
      <c r="C43" s="70"/>
      <c r="D43" s="70"/>
      <c r="E43" s="114" t="s">
        <v>27</v>
      </c>
      <c r="F43" s="115"/>
      <c r="G43" s="115"/>
      <c r="H43" s="115"/>
      <c r="I43" s="116"/>
      <c r="J43" s="71">
        <f>SUM(J20:J42)</f>
        <v>1275</v>
      </c>
      <c r="K43" s="72">
        <f>SUM(K20:K42)</f>
        <v>1275</v>
      </c>
      <c r="L43" s="73">
        <f>SUM(L20:L42)</f>
        <v>21.250000000000004</v>
      </c>
      <c r="M43" s="74">
        <f>SUM(M20:M42)</f>
        <v>506.87500000000006</v>
      </c>
      <c r="N43" s="74">
        <f>SUM(N20:N42)</f>
        <v>19261.25</v>
      </c>
      <c r="O43" s="117"/>
      <c r="P43" s="118"/>
      <c r="Q43" s="118"/>
      <c r="R43" s="118"/>
      <c r="S43" s="118"/>
    </row>
    <row r="44" spans="2:19" x14ac:dyDescent="0.35">
      <c r="E44" s="9"/>
      <c r="F44" s="7"/>
      <c r="G44" s="7"/>
      <c r="H44" s="7"/>
      <c r="I44" s="7"/>
      <c r="J44" s="8"/>
      <c r="K44" s="8"/>
      <c r="L44" s="8"/>
      <c r="M44" s="6"/>
      <c r="N44" s="6"/>
      <c r="O44" s="5"/>
      <c r="P44" s="5"/>
      <c r="Q44" s="5"/>
      <c r="R44" s="5"/>
      <c r="S44" s="5"/>
    </row>
    <row r="45" spans="2:19" ht="26" x14ac:dyDescent="0.35">
      <c r="B45" s="108" t="s">
        <v>28</v>
      </c>
      <c r="C45" s="109"/>
      <c r="D45" s="109"/>
      <c r="E45" s="109"/>
      <c r="F45" s="109"/>
      <c r="G45" s="109"/>
      <c r="H45" s="109"/>
      <c r="I45" s="109"/>
      <c r="J45" s="110"/>
      <c r="K45" s="75" t="s">
        <v>20</v>
      </c>
      <c r="L45" s="68" t="s">
        <v>29</v>
      </c>
      <c r="M45" s="69" t="s">
        <v>24</v>
      </c>
      <c r="N45" s="69" t="s">
        <v>25</v>
      </c>
      <c r="O45" s="111" t="s">
        <v>26</v>
      </c>
      <c r="P45" s="146"/>
      <c r="Q45" s="146"/>
      <c r="R45" s="112"/>
      <c r="S45" s="113"/>
    </row>
    <row r="46" spans="2:19" x14ac:dyDescent="0.35">
      <c r="B46" s="86" t="s">
        <v>138</v>
      </c>
      <c r="C46" s="87"/>
      <c r="D46" s="87"/>
      <c r="E46" s="87"/>
      <c r="F46" s="87"/>
      <c r="G46" s="87"/>
      <c r="H46" s="87"/>
      <c r="I46" s="87"/>
      <c r="J46" s="88"/>
      <c r="K46" s="21">
        <v>38</v>
      </c>
      <c r="L46" s="29"/>
      <c r="M46" s="22">
        <v>30</v>
      </c>
      <c r="N46" s="30">
        <f>M46*K46+L46</f>
        <v>1140</v>
      </c>
      <c r="O46" s="143"/>
      <c r="P46" s="144"/>
      <c r="Q46" s="144"/>
      <c r="R46" s="144"/>
      <c r="S46" s="145"/>
    </row>
    <row r="47" spans="2:19" x14ac:dyDescent="0.35">
      <c r="B47" s="92" t="s">
        <v>139</v>
      </c>
      <c r="C47" s="87"/>
      <c r="D47" s="87"/>
      <c r="E47" s="87"/>
      <c r="F47" s="87"/>
      <c r="G47" s="87"/>
      <c r="H47" s="87"/>
      <c r="I47" s="87"/>
      <c r="J47" s="88"/>
      <c r="K47" s="21">
        <v>38</v>
      </c>
      <c r="L47" s="29"/>
      <c r="M47" s="22">
        <v>50</v>
      </c>
      <c r="N47" s="30">
        <f t="shared" ref="N47:N55" si="35">M47*K47+L47</f>
        <v>1900</v>
      </c>
      <c r="O47" s="143"/>
      <c r="P47" s="144"/>
      <c r="Q47" s="144"/>
      <c r="R47" s="144"/>
      <c r="S47" s="145"/>
    </row>
    <row r="48" spans="2:19" x14ac:dyDescent="0.35">
      <c r="B48" s="92"/>
      <c r="C48" s="87"/>
      <c r="D48" s="87"/>
      <c r="E48" s="87"/>
      <c r="F48" s="87"/>
      <c r="G48" s="87"/>
      <c r="H48" s="87"/>
      <c r="I48" s="87"/>
      <c r="J48" s="88"/>
      <c r="K48" s="21"/>
      <c r="L48" s="31"/>
      <c r="M48" s="22"/>
      <c r="N48" s="30">
        <f t="shared" ref="N48:N52" si="36">M48*K48+L48</f>
        <v>0</v>
      </c>
      <c r="O48" s="143"/>
      <c r="P48" s="144"/>
      <c r="Q48" s="144"/>
      <c r="R48" s="144"/>
      <c r="S48" s="145"/>
    </row>
    <row r="49" spans="2:19" x14ac:dyDescent="0.35">
      <c r="B49" s="92"/>
      <c r="C49" s="87"/>
      <c r="D49" s="87"/>
      <c r="E49" s="87"/>
      <c r="F49" s="87"/>
      <c r="G49" s="87"/>
      <c r="H49" s="87"/>
      <c r="I49" s="87"/>
      <c r="J49" s="88"/>
      <c r="K49" s="21"/>
      <c r="L49" s="31"/>
      <c r="M49" s="22"/>
      <c r="N49" s="30">
        <f t="shared" si="36"/>
        <v>0</v>
      </c>
      <c r="O49" s="143"/>
      <c r="P49" s="144"/>
      <c r="Q49" s="144"/>
      <c r="R49" s="144"/>
      <c r="S49" s="145"/>
    </row>
    <row r="50" spans="2:19" x14ac:dyDescent="0.35">
      <c r="B50" s="92"/>
      <c r="C50" s="87"/>
      <c r="D50" s="87"/>
      <c r="E50" s="87"/>
      <c r="F50" s="87"/>
      <c r="G50" s="87"/>
      <c r="H50" s="87"/>
      <c r="I50" s="87"/>
      <c r="J50" s="88"/>
      <c r="K50" s="21"/>
      <c r="L50" s="31"/>
      <c r="M50" s="22"/>
      <c r="N50" s="30">
        <f t="shared" si="36"/>
        <v>0</v>
      </c>
      <c r="O50" s="143"/>
      <c r="P50" s="144"/>
      <c r="Q50" s="144"/>
      <c r="R50" s="144"/>
      <c r="S50" s="145"/>
    </row>
    <row r="51" spans="2:19" x14ac:dyDescent="0.35">
      <c r="B51" s="92"/>
      <c r="C51" s="87"/>
      <c r="D51" s="87"/>
      <c r="E51" s="87"/>
      <c r="F51" s="87"/>
      <c r="G51" s="87"/>
      <c r="H51" s="87"/>
      <c r="I51" s="87"/>
      <c r="J51" s="88"/>
      <c r="K51" s="21"/>
      <c r="L51" s="31"/>
      <c r="M51" s="22"/>
      <c r="N51" s="30">
        <f t="shared" si="36"/>
        <v>0</v>
      </c>
      <c r="O51" s="143"/>
      <c r="P51" s="144"/>
      <c r="Q51" s="144"/>
      <c r="R51" s="144"/>
      <c r="S51" s="145"/>
    </row>
    <row r="52" spans="2:19" x14ac:dyDescent="0.35">
      <c r="B52" s="92"/>
      <c r="C52" s="87"/>
      <c r="D52" s="87"/>
      <c r="E52" s="87"/>
      <c r="F52" s="87"/>
      <c r="G52" s="87"/>
      <c r="H52" s="87"/>
      <c r="I52" s="87"/>
      <c r="J52" s="88"/>
      <c r="K52" s="21"/>
      <c r="L52" s="31"/>
      <c r="M52" s="22"/>
      <c r="N52" s="30">
        <f t="shared" si="36"/>
        <v>0</v>
      </c>
      <c r="O52" s="143"/>
      <c r="P52" s="144"/>
      <c r="Q52" s="144"/>
      <c r="R52" s="144"/>
      <c r="S52" s="145"/>
    </row>
    <row r="53" spans="2:19" x14ac:dyDescent="0.35">
      <c r="B53" s="92"/>
      <c r="C53" s="87"/>
      <c r="D53" s="87"/>
      <c r="E53" s="87"/>
      <c r="F53" s="87"/>
      <c r="G53" s="87"/>
      <c r="H53" s="87"/>
      <c r="I53" s="87"/>
      <c r="J53" s="88"/>
      <c r="K53" s="21"/>
      <c r="L53" s="31"/>
      <c r="M53" s="22"/>
      <c r="N53" s="30">
        <f t="shared" si="35"/>
        <v>0</v>
      </c>
      <c r="O53" s="143"/>
      <c r="P53" s="144"/>
      <c r="Q53" s="144"/>
      <c r="R53" s="144"/>
      <c r="S53" s="145"/>
    </row>
    <row r="54" spans="2:19" x14ac:dyDescent="0.35">
      <c r="B54" s="92"/>
      <c r="C54" s="87"/>
      <c r="D54" s="87"/>
      <c r="E54" s="87"/>
      <c r="F54" s="87"/>
      <c r="G54" s="87"/>
      <c r="H54" s="87"/>
      <c r="I54" s="87"/>
      <c r="J54" s="88"/>
      <c r="K54" s="21"/>
      <c r="L54" s="31"/>
      <c r="M54" s="22"/>
      <c r="N54" s="30">
        <f t="shared" si="35"/>
        <v>0</v>
      </c>
      <c r="O54" s="143"/>
      <c r="P54" s="144"/>
      <c r="Q54" s="144"/>
      <c r="R54" s="144"/>
      <c r="S54" s="145"/>
    </row>
    <row r="55" spans="2:19" x14ac:dyDescent="0.35">
      <c r="B55" s="92"/>
      <c r="C55" s="87"/>
      <c r="D55" s="87"/>
      <c r="E55" s="87"/>
      <c r="F55" s="87"/>
      <c r="G55" s="87"/>
      <c r="H55" s="87"/>
      <c r="I55" s="87"/>
      <c r="J55" s="88"/>
      <c r="K55" s="21"/>
      <c r="L55" s="31"/>
      <c r="M55" s="22"/>
      <c r="N55" s="30">
        <f t="shared" si="35"/>
        <v>0</v>
      </c>
      <c r="O55" s="143"/>
      <c r="P55" s="144"/>
      <c r="Q55" s="144"/>
      <c r="R55" s="144"/>
      <c r="S55" s="145"/>
    </row>
    <row r="56" spans="2:19" x14ac:dyDescent="0.35">
      <c r="B56" s="92"/>
      <c r="C56" s="87"/>
      <c r="D56" s="87"/>
      <c r="E56" s="87"/>
      <c r="F56" s="87"/>
      <c r="G56" s="87"/>
      <c r="H56" s="87"/>
      <c r="I56" s="87"/>
      <c r="J56" s="88"/>
      <c r="K56" s="21"/>
      <c r="L56" s="31"/>
      <c r="M56" s="22"/>
      <c r="N56" s="30">
        <f>M56*K56+L56</f>
        <v>0</v>
      </c>
      <c r="O56" s="143"/>
      <c r="P56" s="144"/>
      <c r="Q56" s="144"/>
      <c r="R56" s="144"/>
      <c r="S56" s="145"/>
    </row>
    <row r="57" spans="2:19" x14ac:dyDescent="0.35">
      <c r="B57" s="92"/>
      <c r="C57" s="87"/>
      <c r="D57" s="87"/>
      <c r="E57" s="87"/>
      <c r="F57" s="87"/>
      <c r="G57" s="87"/>
      <c r="H57" s="87"/>
      <c r="I57" s="87"/>
      <c r="J57" s="88"/>
      <c r="K57" s="29"/>
      <c r="L57" s="84"/>
      <c r="M57" s="31"/>
      <c r="N57" s="30">
        <f>M57*K57+L57</f>
        <v>0</v>
      </c>
      <c r="O57" s="143"/>
      <c r="P57" s="144"/>
      <c r="Q57" s="144"/>
      <c r="R57" s="144"/>
      <c r="S57" s="145"/>
    </row>
    <row r="58" spans="2:19" x14ac:dyDescent="0.35">
      <c r="B58" s="92"/>
      <c r="C58" s="87"/>
      <c r="D58" s="87"/>
      <c r="E58" s="87"/>
      <c r="F58" s="87"/>
      <c r="G58" s="87"/>
      <c r="H58" s="87"/>
      <c r="I58" s="87"/>
      <c r="J58" s="88"/>
      <c r="K58" s="29"/>
      <c r="L58" s="84"/>
      <c r="M58" s="31"/>
      <c r="N58" s="30">
        <f>M58*K58+L58</f>
        <v>0</v>
      </c>
      <c r="O58" s="143"/>
      <c r="P58" s="144"/>
      <c r="Q58" s="144"/>
      <c r="R58" s="144"/>
      <c r="S58" s="145"/>
    </row>
    <row r="59" spans="2:19" x14ac:dyDescent="0.35">
      <c r="C59" s="101"/>
      <c r="D59" s="101"/>
      <c r="E59" s="101"/>
      <c r="F59" s="101"/>
      <c r="G59" s="101"/>
      <c r="H59" s="101"/>
      <c r="I59" s="101"/>
      <c r="J59" s="101"/>
      <c r="K59" s="6"/>
      <c r="L59" s="6"/>
      <c r="M59" s="6"/>
      <c r="N59" s="6"/>
      <c r="O59" s="5"/>
      <c r="P59" s="5"/>
      <c r="Q59" s="5"/>
      <c r="R59" s="5"/>
      <c r="S59" s="5"/>
    </row>
    <row r="60" spans="2:19" ht="15.5" x14ac:dyDescent="0.35">
      <c r="B60" s="102" t="s">
        <v>30</v>
      </c>
      <c r="C60" s="102"/>
      <c r="D60" s="102"/>
      <c r="E60" s="102"/>
      <c r="F60" s="102"/>
      <c r="G60" s="102"/>
      <c r="H60" s="102"/>
      <c r="I60" s="102"/>
      <c r="J60" s="102"/>
      <c r="K60" s="49"/>
      <c r="L60" s="49"/>
      <c r="M60" s="49"/>
      <c r="N60" s="76">
        <f>SUM(N46:N58)</f>
        <v>3040</v>
      </c>
    </row>
    <row r="64" spans="2:19" ht="18" x14ac:dyDescent="0.35">
      <c r="B64" s="66" t="s">
        <v>31</v>
      </c>
    </row>
    <row r="65" spans="2:19" ht="18" x14ac:dyDescent="0.35">
      <c r="B65" s="18"/>
      <c r="G65" s="19"/>
    </row>
    <row r="66" spans="2:19" ht="65.5" customHeight="1" x14ac:dyDescent="0.35">
      <c r="B66" s="77" t="s">
        <v>32</v>
      </c>
      <c r="C66" s="46"/>
      <c r="D66" s="46"/>
      <c r="E66" s="46"/>
      <c r="F66" s="46"/>
      <c r="G66" s="78" t="s">
        <v>33</v>
      </c>
      <c r="H66" s="79" t="s">
        <v>34</v>
      </c>
      <c r="J66" s="103" t="s">
        <v>35</v>
      </c>
      <c r="K66" s="104"/>
      <c r="L66" s="104"/>
      <c r="M66" s="104"/>
      <c r="N66" s="104"/>
      <c r="O66" s="104"/>
      <c r="P66" s="104"/>
      <c r="Q66" s="104"/>
      <c r="R66" s="104"/>
      <c r="S66" s="104"/>
    </row>
    <row r="67" spans="2:19" ht="24.65" customHeight="1" x14ac:dyDescent="0.35">
      <c r="B67" s="16" t="s">
        <v>36</v>
      </c>
      <c r="C67" s="96" t="s">
        <v>37</v>
      </c>
      <c r="D67" s="99"/>
      <c r="E67" s="99"/>
      <c r="F67" s="100"/>
      <c r="G67" s="20" t="s">
        <v>79</v>
      </c>
      <c r="H67" s="34">
        <f>IF(G67="L1",Data!B27,IF(G67="U1",Data!B28,IF(G67="L2",Data!B29,IF(G67="U2",Data!B30,IF(G67="Band 3",Data!B31,IF(G67="Band 4",Data!B32,IF(G67="N/A", "please enter details opposite")))))))</f>
        <v>6024</v>
      </c>
      <c r="I67" s="15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2:19" ht="24.65" customHeight="1" x14ac:dyDescent="0.35">
      <c r="B68" s="16" t="s">
        <v>57</v>
      </c>
      <c r="C68" s="96" t="s">
        <v>39</v>
      </c>
      <c r="D68" s="99"/>
      <c r="E68" s="99"/>
      <c r="F68" s="100"/>
      <c r="G68" s="20"/>
      <c r="H68" s="17">
        <v>6000</v>
      </c>
      <c r="I68" s="15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2:19" ht="24.65" customHeight="1" x14ac:dyDescent="0.4">
      <c r="B69" s="49" t="s">
        <v>58</v>
      </c>
      <c r="C69" s="46"/>
      <c r="D69" s="46"/>
      <c r="E69" s="46"/>
      <c r="F69" s="46"/>
      <c r="G69" s="57"/>
      <c r="H69" s="76">
        <f>SUM(H67:H68)</f>
        <v>12024</v>
      </c>
      <c r="I69" s="15"/>
      <c r="J69" s="137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2:19" ht="24.65" customHeight="1" x14ac:dyDescent="0.35">
      <c r="B70" s="35"/>
      <c r="C70" s="35"/>
      <c r="D70" s="35"/>
      <c r="E70" s="35"/>
      <c r="F70" s="35"/>
      <c r="G70" s="35"/>
      <c r="H70" s="35"/>
      <c r="I70" s="15"/>
      <c r="J70" s="137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2:19" ht="24.65" customHeight="1" x14ac:dyDescent="0.4">
      <c r="B71" s="49" t="s">
        <v>59</v>
      </c>
      <c r="C71" s="46"/>
      <c r="D71" s="46"/>
      <c r="E71" s="46"/>
      <c r="F71" s="46"/>
      <c r="G71" s="57"/>
      <c r="H71" s="76"/>
      <c r="I71" s="15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2:19" ht="24.65" customHeight="1" x14ac:dyDescent="0.35">
      <c r="B72" s="16" t="s">
        <v>42</v>
      </c>
      <c r="C72" s="96" t="s">
        <v>43</v>
      </c>
      <c r="D72" s="97"/>
      <c r="E72" s="97"/>
      <c r="F72" s="98"/>
      <c r="G72" s="20" t="s">
        <v>67</v>
      </c>
      <c r="H72" s="37">
        <f>IF(G72="AWPU KS1&amp;2",Data!E11,IF(G72="AWPU KS3",Data!E12,IF(G72="AWPU KS4",Data!E13,0)))</f>
        <v>3562</v>
      </c>
      <c r="I72" s="15"/>
      <c r="J72" s="137"/>
      <c r="K72" s="137"/>
      <c r="L72" s="137"/>
      <c r="M72" s="137"/>
      <c r="N72" s="137"/>
      <c r="O72" s="137"/>
      <c r="P72" s="137"/>
      <c r="Q72" s="137"/>
      <c r="R72" s="137"/>
      <c r="S72" s="137"/>
    </row>
    <row r="73" spans="2:19" ht="24.65" customHeight="1" x14ac:dyDescent="0.35">
      <c r="B73" s="16" t="s">
        <v>44</v>
      </c>
      <c r="C73" s="96" t="s">
        <v>45</v>
      </c>
      <c r="D73" s="97"/>
      <c r="E73" s="97"/>
      <c r="F73" s="98"/>
      <c r="G73" s="20" t="s">
        <v>74</v>
      </c>
      <c r="H73" s="37">
        <f>IF(G73="FSM6 Primary",Data!E15,IF(G73="FSM6 Secondary",Data!E16,0))</f>
        <v>820</v>
      </c>
      <c r="I73" s="15"/>
      <c r="J73" s="137"/>
      <c r="K73" s="137"/>
      <c r="L73" s="137"/>
      <c r="M73" s="137"/>
      <c r="N73" s="137"/>
      <c r="O73" s="137"/>
      <c r="P73" s="137"/>
      <c r="Q73" s="137"/>
      <c r="R73" s="137"/>
      <c r="S73" s="137"/>
    </row>
    <row r="74" spans="2:19" ht="24.65" customHeight="1" x14ac:dyDescent="0.35">
      <c r="B74" s="16" t="s">
        <v>46</v>
      </c>
      <c r="C74" s="96" t="s">
        <v>47</v>
      </c>
      <c r="D74" s="97"/>
      <c r="E74" s="97"/>
      <c r="F74" s="98"/>
      <c r="G74" s="20" t="s">
        <v>78</v>
      </c>
      <c r="H74" s="37">
        <f>IF(G74="Low Prior Attainment Primary",Data!E18,IF(G74="Low Prior Attainment Secondary",Data!E19,0))</f>
        <v>1170</v>
      </c>
      <c r="I74" s="15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2:19" ht="24.65" customHeight="1" x14ac:dyDescent="0.35">
      <c r="B75" s="16" t="s">
        <v>48</v>
      </c>
      <c r="C75" s="96" t="s">
        <v>49</v>
      </c>
      <c r="D75" s="97"/>
      <c r="E75" s="97"/>
      <c r="F75" s="98"/>
      <c r="G75" s="20"/>
      <c r="H75" s="37">
        <f>IF(G75="EAL Primary",Data!E21,IF(G75="EAL Secondary",Data!E22,0))</f>
        <v>0</v>
      </c>
      <c r="I75" s="15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2:19" ht="24.65" customHeight="1" x14ac:dyDescent="0.35">
      <c r="B76" s="16" t="s">
        <v>50</v>
      </c>
      <c r="C76" s="96" t="s">
        <v>51</v>
      </c>
      <c r="D76" s="97"/>
      <c r="E76" s="97"/>
      <c r="F76" s="98"/>
      <c r="G76" s="20" t="s">
        <v>86</v>
      </c>
      <c r="H76" s="37">
        <f>IF(G76="PPG Primary",Data!E24,IF(G76="PPG Secondary",Data!E25,0))</f>
        <v>1480</v>
      </c>
      <c r="I76" s="15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2:19" ht="24.65" customHeight="1" x14ac:dyDescent="0.35">
      <c r="B77" s="16" t="s">
        <v>52</v>
      </c>
      <c r="C77" s="96" t="s">
        <v>53</v>
      </c>
      <c r="D77" s="97"/>
      <c r="E77" s="97"/>
      <c r="F77" s="98"/>
      <c r="G77" s="36"/>
      <c r="H77" s="37">
        <f>IF(G77="Yes",Data!E26,IF(G77="No",0,0))</f>
        <v>0</v>
      </c>
      <c r="I77" s="15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2:19" ht="24.65" customHeight="1" x14ac:dyDescent="0.35">
      <c r="B78" s="16" t="s">
        <v>61</v>
      </c>
      <c r="C78" s="96" t="s">
        <v>53</v>
      </c>
      <c r="D78" s="97"/>
      <c r="E78" s="97"/>
      <c r="F78" s="98"/>
      <c r="G78" s="36"/>
      <c r="H78" s="37">
        <f>IF(G78="Yes",Data!E27,IF(G78="No",0,0))</f>
        <v>0</v>
      </c>
      <c r="I78" s="15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2:19" x14ac:dyDescent="0.35">
      <c r="H79" s="10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2:19" ht="18" x14ac:dyDescent="0.4">
      <c r="B80" s="49" t="s">
        <v>62</v>
      </c>
      <c r="C80" s="46"/>
      <c r="D80" s="46"/>
      <c r="E80" s="46"/>
      <c r="F80" s="46"/>
      <c r="G80" s="57"/>
      <c r="H80" s="76">
        <f>SUM(H72:H78)</f>
        <v>7032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</row>
  </sheetData>
  <sheetProtection algorithmName="SHA-512" hashValue="PW1oVcxnTKe53ChravoiezqOmOIn5cTs+11xn6ifVgz15C4qDd8Gw+mrzniIT3WeQifoMnSjbwWYAwScZ8llGw==" saltValue="TjX077ZG3d3ubSzvxqqPZA==" spinCount="100000" sheet="1" formatCells="0" selectLockedCells="1"/>
  <mergeCells count="83">
    <mergeCell ref="B47:J47"/>
    <mergeCell ref="B46:J46"/>
    <mergeCell ref="E43:I43"/>
    <mergeCell ref="O43:S43"/>
    <mergeCell ref="B45:J45"/>
    <mergeCell ref="O45:S45"/>
    <mergeCell ref="O46:S46"/>
    <mergeCell ref="O47:S47"/>
    <mergeCell ref="C74:F74"/>
    <mergeCell ref="C75:F75"/>
    <mergeCell ref="C76:F76"/>
    <mergeCell ref="C67:F67"/>
    <mergeCell ref="B58:J58"/>
    <mergeCell ref="C59:J59"/>
    <mergeCell ref="B60:J60"/>
    <mergeCell ref="J66:S66"/>
    <mergeCell ref="O58:S58"/>
    <mergeCell ref="O53:S53"/>
    <mergeCell ref="O54:S54"/>
    <mergeCell ref="O55:S55"/>
    <mergeCell ref="O56:S56"/>
    <mergeCell ref="O57:S57"/>
    <mergeCell ref="O19:S19"/>
    <mergeCell ref="O20:S20"/>
    <mergeCell ref="O21:S21"/>
    <mergeCell ref="O35:S35"/>
    <mergeCell ref="O36:S36"/>
    <mergeCell ref="O31:S31"/>
    <mergeCell ref="O32:S32"/>
    <mergeCell ref="O33:S33"/>
    <mergeCell ref="O34:S34"/>
    <mergeCell ref="O42:S42"/>
    <mergeCell ref="O22:S22"/>
    <mergeCell ref="O23:S23"/>
    <mergeCell ref="O24:S24"/>
    <mergeCell ref="O30:S30"/>
    <mergeCell ref="O37:S37"/>
    <mergeCell ref="O38:S38"/>
    <mergeCell ref="O39:S39"/>
    <mergeCell ref="O40:S40"/>
    <mergeCell ref="O41:S41"/>
    <mergeCell ref="O25:S25"/>
    <mergeCell ref="O26:S26"/>
    <mergeCell ref="O27:S27"/>
    <mergeCell ref="O28:S28"/>
    <mergeCell ref="O29:S29"/>
    <mergeCell ref="C17:E17"/>
    <mergeCell ref="H17:J17"/>
    <mergeCell ref="K17:R17"/>
    <mergeCell ref="A1:O1"/>
    <mergeCell ref="C4:G4"/>
    <mergeCell ref="H4:I4"/>
    <mergeCell ref="J4:M4"/>
    <mergeCell ref="C6:G6"/>
    <mergeCell ref="H6:I6"/>
    <mergeCell ref="J6:N6"/>
    <mergeCell ref="B8:D8"/>
    <mergeCell ref="J8:N8"/>
    <mergeCell ref="B16:E16"/>
    <mergeCell ref="H16:J16"/>
    <mergeCell ref="K16:R16"/>
    <mergeCell ref="P8:Q8"/>
    <mergeCell ref="C68:F68"/>
    <mergeCell ref="B48:J48"/>
    <mergeCell ref="B49:J49"/>
    <mergeCell ref="B50:J50"/>
    <mergeCell ref="B51:J51"/>
    <mergeCell ref="B52:J52"/>
    <mergeCell ref="B56:J56"/>
    <mergeCell ref="B57:J57"/>
    <mergeCell ref="B53:J53"/>
    <mergeCell ref="B54:J54"/>
    <mergeCell ref="B55:J55"/>
    <mergeCell ref="J67:S80"/>
    <mergeCell ref="C77:F77"/>
    <mergeCell ref="C78:F78"/>
    <mergeCell ref="C72:F72"/>
    <mergeCell ref="C73:F73"/>
    <mergeCell ref="O48:S48"/>
    <mergeCell ref="O49:S49"/>
    <mergeCell ref="O50:S50"/>
    <mergeCell ref="O51:S51"/>
    <mergeCell ref="O52:S5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A175049-1084-487D-B577-B9AC9A54227F}">
          <x14:formula1>
            <xm:f>Data!$G$11:$G$12</xm:f>
          </x14:formula1>
          <xm:sqref>G77:G78</xm:sqref>
        </x14:dataValidation>
        <x14:dataValidation type="list" allowBlank="1" showInputMessage="1" showErrorMessage="1" xr:uid="{D74F9C34-F3D9-4741-B85F-23A1DAF31C00}">
          <x14:formula1>
            <xm:f>Data!$A$17:$A$23</xm:f>
          </x14:formula1>
          <xm:sqref>G67</xm:sqref>
        </x14:dataValidation>
        <x14:dataValidation type="list" allowBlank="1" showInputMessage="1" showErrorMessage="1" xr:uid="{4726DB27-0902-4C23-B2AC-D9401C8C2321}">
          <x14:formula1>
            <xm:f>Data!$D$11:$D$13</xm:f>
          </x14:formula1>
          <xm:sqref>G72</xm:sqref>
        </x14:dataValidation>
        <x14:dataValidation type="list" allowBlank="1" showInputMessage="1" showErrorMessage="1" xr:uid="{269793E4-97E0-480B-BE3D-05F8BD81CE8C}">
          <x14:formula1>
            <xm:f>Data!$D$15:$D$17</xm:f>
          </x14:formula1>
          <xm:sqref>G73</xm:sqref>
        </x14:dataValidation>
        <x14:dataValidation type="list" allowBlank="1" showInputMessage="1" showErrorMessage="1" xr:uid="{7A8C90C8-6929-413B-A9BA-CCD5E3DBC560}">
          <x14:formula1>
            <xm:f>Data!$D$18:$D$20</xm:f>
          </x14:formula1>
          <xm:sqref>G74</xm:sqref>
        </x14:dataValidation>
        <x14:dataValidation type="list" allowBlank="1" showInputMessage="1" showErrorMessage="1" xr:uid="{052F0FDC-95A6-4D87-918C-305460F234D6}">
          <x14:formula1>
            <xm:f>Data!$D$21:$D$23</xm:f>
          </x14:formula1>
          <xm:sqref>G75</xm:sqref>
        </x14:dataValidation>
        <x14:dataValidation type="list" allowBlank="1" showInputMessage="1" showErrorMessage="1" xr:uid="{16442680-83CD-4849-A3FB-B58D10546A72}">
          <x14:formula1>
            <xm:f>Data!$D$24:$D$26</xm:f>
          </x14:formula1>
          <xm:sqref>G76</xm:sqref>
        </x14:dataValidation>
        <x14:dataValidation type="list" allowBlank="1" showInputMessage="1" showErrorMessage="1" xr:uid="{FFD766E5-1E42-4A22-8998-603966AD6448}">
          <x14:formula1>
            <xm:f>Data!$A$3:$A$7</xm:f>
          </x14:formula1>
          <xm:sqref>E20:E42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9739-E8C0-434D-83F6-7196E3DEF632}">
  <sheetPr codeName="Sheet3"/>
  <dimension ref="A3:I33"/>
  <sheetViews>
    <sheetView topLeftCell="A13" workbookViewId="0">
      <selection activeCell="D28" sqref="D28"/>
    </sheetView>
  </sheetViews>
  <sheetFormatPr defaultRowHeight="14.5" x14ac:dyDescent="0.35"/>
  <cols>
    <col min="1" max="1" width="11.26953125" customWidth="1"/>
    <col min="4" max="4" width="29.81640625" customWidth="1"/>
    <col min="8" max="8" width="16.81640625" customWidth="1"/>
    <col min="9" max="9" width="21.1796875" customWidth="1"/>
  </cols>
  <sheetData>
    <row r="3" spans="1:7" x14ac:dyDescent="0.35">
      <c r="A3" t="s">
        <v>63</v>
      </c>
      <c r="B3">
        <v>34</v>
      </c>
      <c r="D3" t="s">
        <v>90</v>
      </c>
    </row>
    <row r="4" spans="1:7" x14ac:dyDescent="0.35">
      <c r="A4" t="s">
        <v>92</v>
      </c>
      <c r="B4">
        <v>17.5</v>
      </c>
      <c r="D4" t="s">
        <v>88</v>
      </c>
    </row>
    <row r="5" spans="1:7" x14ac:dyDescent="0.35">
      <c r="A5" t="s">
        <v>93</v>
      </c>
      <c r="B5">
        <v>19</v>
      </c>
      <c r="D5" t="s">
        <v>89</v>
      </c>
    </row>
    <row r="6" spans="1:7" x14ac:dyDescent="0.35">
      <c r="A6" t="s">
        <v>94</v>
      </c>
      <c r="B6">
        <v>22.5</v>
      </c>
    </row>
    <row r="7" spans="1:7" x14ac:dyDescent="0.35">
      <c r="A7" t="s">
        <v>95</v>
      </c>
      <c r="B7">
        <v>24</v>
      </c>
    </row>
    <row r="10" spans="1:7" x14ac:dyDescent="0.35">
      <c r="A10" s="42" t="s">
        <v>64</v>
      </c>
      <c r="B10" s="42" t="s">
        <v>65</v>
      </c>
      <c r="C10" s="42"/>
      <c r="D10" s="42"/>
      <c r="E10" s="42"/>
      <c r="F10" s="42"/>
      <c r="G10" s="42"/>
    </row>
    <row r="11" spans="1:7" x14ac:dyDescent="0.35">
      <c r="A11" s="42" t="s">
        <v>66</v>
      </c>
      <c r="B11" s="42">
        <v>6000</v>
      </c>
      <c r="C11" s="42"/>
      <c r="D11" s="42" t="s">
        <v>67</v>
      </c>
      <c r="E11" s="42">
        <v>3562</v>
      </c>
      <c r="F11" s="42"/>
      <c r="G11" s="42" t="s">
        <v>68</v>
      </c>
    </row>
    <row r="12" spans="1:7" x14ac:dyDescent="0.35">
      <c r="A12" s="42" t="s">
        <v>69</v>
      </c>
      <c r="B12" s="42">
        <v>6000</v>
      </c>
      <c r="C12" s="42"/>
      <c r="D12" s="42" t="s">
        <v>70</v>
      </c>
      <c r="E12" s="42">
        <v>5022</v>
      </c>
      <c r="F12" s="42"/>
      <c r="G12" s="42" t="s">
        <v>71</v>
      </c>
    </row>
    <row r="13" spans="1:7" x14ac:dyDescent="0.35">
      <c r="A13" s="42" t="s">
        <v>72</v>
      </c>
      <c r="B13" s="42">
        <v>10000</v>
      </c>
      <c r="C13" s="42"/>
      <c r="D13" s="42" t="s">
        <v>60</v>
      </c>
      <c r="E13" s="42">
        <v>5661</v>
      </c>
      <c r="F13" s="42"/>
      <c r="G13" s="42"/>
    </row>
    <row r="14" spans="1:7" x14ac:dyDescent="0.35">
      <c r="A14" s="42" t="s">
        <v>73</v>
      </c>
      <c r="B14" s="42">
        <v>0</v>
      </c>
      <c r="C14" s="42"/>
      <c r="D14" s="42"/>
      <c r="E14" s="42"/>
      <c r="F14" s="42"/>
      <c r="G14" s="42"/>
    </row>
    <row r="15" spans="1:7" x14ac:dyDescent="0.35">
      <c r="A15" s="42"/>
      <c r="B15" s="42"/>
      <c r="C15" s="42"/>
      <c r="D15" s="42" t="s">
        <v>74</v>
      </c>
      <c r="E15" s="42">
        <v>820</v>
      </c>
      <c r="F15" s="42"/>
      <c r="G15" s="42"/>
    </row>
    <row r="16" spans="1:7" x14ac:dyDescent="0.35">
      <c r="A16" s="42" t="s">
        <v>97</v>
      </c>
      <c r="B16" s="42"/>
      <c r="C16" s="42"/>
      <c r="D16" s="42" t="s">
        <v>75</v>
      </c>
      <c r="E16" s="42">
        <v>1200</v>
      </c>
      <c r="F16" s="42"/>
      <c r="G16" s="42"/>
    </row>
    <row r="17" spans="1:9" x14ac:dyDescent="0.35">
      <c r="A17" s="42" t="s">
        <v>38</v>
      </c>
      <c r="B17" s="42">
        <v>2146</v>
      </c>
      <c r="C17" s="42"/>
      <c r="D17" s="42" t="s">
        <v>76</v>
      </c>
      <c r="E17" s="42">
        <v>0</v>
      </c>
      <c r="F17" s="42"/>
      <c r="G17" s="42"/>
    </row>
    <row r="18" spans="1:9" x14ac:dyDescent="0.35">
      <c r="A18" s="42" t="s">
        <v>77</v>
      </c>
      <c r="B18" s="42">
        <v>4314</v>
      </c>
      <c r="C18" s="42"/>
      <c r="D18" s="42" t="s">
        <v>78</v>
      </c>
      <c r="E18" s="42">
        <v>1170</v>
      </c>
      <c r="F18" s="42"/>
      <c r="G18" s="42"/>
      <c r="I18" s="14"/>
    </row>
    <row r="19" spans="1:9" x14ac:dyDescent="0.35">
      <c r="A19" s="42" t="s">
        <v>79</v>
      </c>
      <c r="B19" s="42">
        <v>5907</v>
      </c>
      <c r="C19" s="42"/>
      <c r="D19" s="42" t="s">
        <v>80</v>
      </c>
      <c r="E19" s="42">
        <v>1775</v>
      </c>
      <c r="F19" s="42"/>
      <c r="G19" s="42"/>
      <c r="I19" s="14"/>
    </row>
    <row r="20" spans="1:9" x14ac:dyDescent="0.35">
      <c r="A20" s="42" t="s">
        <v>81</v>
      </c>
      <c r="B20" s="42">
        <v>7833</v>
      </c>
      <c r="C20" s="42"/>
      <c r="D20" s="42" t="s">
        <v>76</v>
      </c>
      <c r="E20" s="42">
        <v>0</v>
      </c>
      <c r="F20" s="42"/>
      <c r="G20" s="42"/>
      <c r="I20" s="14"/>
    </row>
    <row r="21" spans="1:9" x14ac:dyDescent="0.35">
      <c r="A21" s="43" t="s">
        <v>82</v>
      </c>
      <c r="B21" s="42">
        <v>11480</v>
      </c>
      <c r="C21" s="42"/>
      <c r="D21" s="42" t="s">
        <v>83</v>
      </c>
      <c r="E21" s="42">
        <v>590</v>
      </c>
      <c r="F21" s="42"/>
      <c r="G21" s="42"/>
      <c r="I21" s="14"/>
    </row>
    <row r="22" spans="1:9" x14ac:dyDescent="0.35">
      <c r="A22" s="43" t="s">
        <v>84</v>
      </c>
      <c r="B22" s="42">
        <v>16756</v>
      </c>
      <c r="C22" s="42"/>
      <c r="D22" s="42" t="s">
        <v>85</v>
      </c>
      <c r="E22" s="42">
        <v>1585</v>
      </c>
      <c r="F22" s="42"/>
      <c r="G22" s="42"/>
      <c r="H22" s="4"/>
      <c r="I22" s="14"/>
    </row>
    <row r="23" spans="1:9" x14ac:dyDescent="0.35">
      <c r="A23" s="42" t="s">
        <v>76</v>
      </c>
      <c r="B23" s="42"/>
      <c r="C23" s="42"/>
      <c r="D23" s="42" t="s">
        <v>76</v>
      </c>
      <c r="E23" s="42">
        <v>0</v>
      </c>
      <c r="F23" s="42"/>
      <c r="G23" s="42"/>
      <c r="H23" s="4"/>
      <c r="I23" s="14"/>
    </row>
    <row r="24" spans="1:9" x14ac:dyDescent="0.35">
      <c r="A24" s="42"/>
      <c r="B24" s="42"/>
      <c r="C24" s="42"/>
      <c r="D24" s="42" t="s">
        <v>86</v>
      </c>
      <c r="E24" s="42">
        <v>1480</v>
      </c>
      <c r="F24" s="42"/>
      <c r="G24" s="42"/>
    </row>
    <row r="25" spans="1:9" x14ac:dyDescent="0.35">
      <c r="A25" s="42"/>
      <c r="B25" s="42"/>
      <c r="C25" s="42"/>
      <c r="D25" s="42" t="s">
        <v>87</v>
      </c>
      <c r="E25" s="42">
        <v>1085</v>
      </c>
      <c r="F25" s="42"/>
      <c r="G25" s="42"/>
    </row>
    <row r="26" spans="1:9" x14ac:dyDescent="0.35">
      <c r="A26" s="42" t="s">
        <v>98</v>
      </c>
      <c r="B26" s="42"/>
      <c r="C26" s="42"/>
      <c r="D26" s="42" t="s">
        <v>99</v>
      </c>
      <c r="E26" s="42">
        <v>340</v>
      </c>
      <c r="F26" s="42"/>
      <c r="G26" s="42"/>
    </row>
    <row r="27" spans="1:9" x14ac:dyDescent="0.35">
      <c r="A27" s="42" t="s">
        <v>38</v>
      </c>
      <c r="B27" s="42">
        <v>2188</v>
      </c>
      <c r="D27" s="42" t="s">
        <v>61</v>
      </c>
      <c r="E27" s="42">
        <v>2570</v>
      </c>
    </row>
    <row r="28" spans="1:9" x14ac:dyDescent="0.35">
      <c r="A28" s="42" t="s">
        <v>77</v>
      </c>
      <c r="B28" s="42">
        <v>4399</v>
      </c>
    </row>
    <row r="29" spans="1:9" x14ac:dyDescent="0.35">
      <c r="A29" s="42" t="s">
        <v>79</v>
      </c>
      <c r="B29" s="42">
        <v>6024</v>
      </c>
    </row>
    <row r="30" spans="1:9" x14ac:dyDescent="0.35">
      <c r="A30" s="42" t="s">
        <v>81</v>
      </c>
      <c r="B30" s="42">
        <v>7986</v>
      </c>
    </row>
    <row r="31" spans="1:9" x14ac:dyDescent="0.35">
      <c r="A31" s="43" t="s">
        <v>82</v>
      </c>
      <c r="B31" s="42">
        <v>11705</v>
      </c>
    </row>
    <row r="32" spans="1:9" x14ac:dyDescent="0.35">
      <c r="A32" s="43" t="s">
        <v>84</v>
      </c>
      <c r="B32" s="42">
        <v>17085</v>
      </c>
    </row>
    <row r="33" spans="1:2" x14ac:dyDescent="0.35">
      <c r="A33" s="42" t="s">
        <v>76</v>
      </c>
      <c r="B33" s="4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6ceae14b-024b-4bff-9be8-3287753ee694" origin="defaultValue">
  <element uid="id_classification_nonbusiness" value=""/>
</sis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f9e225-0762-47db-a700-d28ac4b3e40d" xsi:nil="true"/>
    <lcf76f155ced4ddcb4097134ff3c332f xmlns="a8285271-9f5b-4f6c-9b69-60935316299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3A740531B3D48A7909DF9EEFBC7D5" ma:contentTypeVersion="16" ma:contentTypeDescription="Create a new document." ma:contentTypeScope="" ma:versionID="d49c3e47bc1b0a639bb8e7117acd7492">
  <xsd:schema xmlns:xsd="http://www.w3.org/2001/XMLSchema" xmlns:xs="http://www.w3.org/2001/XMLSchema" xmlns:p="http://schemas.microsoft.com/office/2006/metadata/properties" xmlns:ns2="a8285271-9f5b-4f6c-9b69-609353162993" xmlns:ns3="a5b7f90d-d0a5-4849-92b8-6ad8591d39e2" xmlns:ns4="e0f9e225-0762-47db-a700-d28ac4b3e40d" targetNamespace="http://schemas.microsoft.com/office/2006/metadata/properties" ma:root="true" ma:fieldsID="bd6cee00457184bcf31ef9a933e32425" ns2:_="" ns3:_="" ns4:_="">
    <xsd:import namespace="a8285271-9f5b-4f6c-9b69-609353162993"/>
    <xsd:import namespace="a5b7f90d-d0a5-4849-92b8-6ad8591d39e2"/>
    <xsd:import namespace="e0f9e225-0762-47db-a700-d28ac4b3e4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85271-9f5b-4f6c-9b69-609353162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2df4a1f-7efd-448e-8d4c-d4bc970677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f90d-d0a5-4849-92b8-6ad8591d3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9e225-0762-47db-a700-d28ac4b3e40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965c974-e89b-41c7-8583-994d55f342a3}" ma:internalName="TaxCatchAll" ma:showField="CatchAllData" ma:web="a5b7f90d-d0a5-4849-92b8-6ad8591d39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16A7A6-C06A-45A3-B2C7-1DABED6AD32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5F9FD37-BFFB-451B-9660-E5E99717E0FB}">
  <ds:schemaRefs>
    <ds:schemaRef ds:uri="http://www.w3.org/XML/1998/namespace"/>
    <ds:schemaRef ds:uri="http://schemas.microsoft.com/office/2006/documentManagement/types"/>
    <ds:schemaRef ds:uri="http://purl.org/dc/elements/1.1/"/>
    <ds:schemaRef ds:uri="a5b7f90d-d0a5-4849-92b8-6ad8591d39e2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e0f9e225-0762-47db-a700-d28ac4b3e40d"/>
    <ds:schemaRef ds:uri="a8285271-9f5b-4f6c-9b69-60935316299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B1AEFB-F661-41AA-9450-86A81581B2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490024-C7D7-4686-A3CC-EA79BED88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85271-9f5b-4f6c-9b69-609353162993"/>
    <ds:schemaRef ds:uri="a5b7f90d-d0a5-4849-92b8-6ad8591d39e2"/>
    <ds:schemaRef ds:uri="e0f9e225-0762-47db-a700-d28ac4b3e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NPA</vt:lpstr>
      <vt:lpstr>Resource Base &amp; ELP </vt:lpstr>
      <vt:lpstr>Data</vt:lpstr>
    </vt:vector>
  </TitlesOfParts>
  <Manager/>
  <Company>Cheshire Shared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HOWARTH, Victoria</dc:creator>
  <cp:keywords/>
  <dc:description/>
  <cp:lastModifiedBy>Davis, Grant</cp:lastModifiedBy>
  <cp:revision/>
  <dcterms:created xsi:type="dcterms:W3CDTF">2019-06-25T09:13:25Z</dcterms:created>
  <dcterms:modified xsi:type="dcterms:W3CDTF">2024-04-09T08:23:55Z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e743122f-29aa-4894-934a-cca72532a2df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policy="6ceae14b-024b-4bff-9be8-3287753ee694"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ftMQ+itGDxr012Qm4vbKOniy9grZ3N+S</vt:lpwstr>
  </property>
  <property fmtid="{D5CDD505-2E9C-101B-9397-08002B2CF9AE}" pid="7" name="ContentTypeId">
    <vt:lpwstr>0x0101009123A740531B3D48A7909DF9EEFBC7D5</vt:lpwstr>
  </property>
  <property fmtid="{D5CDD505-2E9C-101B-9397-08002B2CF9AE}" pid="8" name="MediaServiceImageTags">
    <vt:lpwstr/>
  </property>
</Properties>
</file>